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<sst xmlns="http://schemas.openxmlformats.org/spreadsheetml/2006/main" count="10" uniqueCount="7">
  <si>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Mean</t>
  </si>
  <si>
    <t>+2SD</t>
  </si>
  <si>
    <t>-2SD</t>
  </si>
  <si>
    <t>Bodyweight girls</t>
  </si>
  <si>
    <t>Bodyweight boys</t>
  </si>
  <si>
    <t>Age (months)</t>
  </si>
  <si>
    <t>Scaling factor from the picture: http://www.verkkoklinikka.fi/laskurit/kasvu/ [1 cm corresponds to 2.564kg in picture]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</si>
</sst>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Sheet1!$A$3:$A$27</c:f>
              <c:numCache/>
            </c:numRef>
          </c:xVal>
          <c:yVal>
            <c:numRef>
              <c:f>Sheet1!$B$3:$B$27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Sheet1!$A$3:$A$27</c:f>
              <c:numCache/>
            </c:numRef>
          </c:xVal>
          <c:yVal>
            <c:numRef>
              <c:f>Sheet1!$C$3:$C$27</c:f>
              <c:numCache/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Sheet1!$A$3:$A$27</c:f>
              <c:numCache/>
            </c:numRef>
          </c:xVal>
          <c:yVal>
            <c:numRef>
              <c:f>Sheet1!$D$3:$D$27</c:f>
              <c:numCache/>
            </c:numRef>
          </c:yVal>
          <c:smooth val="0"/>
        </c:ser>
        <c:axId val="57500714"/>
        <c:axId val="47744379"/>
      </c:scatterChart>
      <c:valAx>
        <c:axId val="57500714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44379"/>
        <c:crosses val="autoZero"/>
        <c:crossBetween val="midCat"/>
        <c:dispUnits/>
      </c:valAx>
      <c:valAx>
        <c:axId val="47744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Bodyweight of Finnish girls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00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Sheet1!$A$3:$A$27</c:f>
              <c:numCache/>
            </c:numRef>
          </c:xVal>
          <c:yVal>
            <c:numRef>
              <c:f>Sheet1!$E$3:$E$27</c:f>
              <c:numCache/>
            </c:numRef>
          </c:y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Sheet1!$A$3:$A$27</c:f>
              <c:numCache/>
            </c:numRef>
          </c:xVal>
          <c:yVal>
            <c:numRef>
              <c:f>Sheet1!$F$3:$F$27</c:f>
              <c:numCache/>
            </c:numRef>
          </c:y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Sheet1!$A$3:$A$27</c:f>
              <c:numCache/>
            </c:numRef>
          </c:xVal>
          <c:yVal>
            <c:numRef>
              <c:f>Sheet1!$G$3:$G$27</c:f>
              <c:numCache/>
            </c:numRef>
          </c:yVal>
          <c:smooth val="0"/>
        </c:ser>
        <c:axId val="27046228"/>
        <c:axId val="42089461"/>
      </c:scatterChart>
      <c:valAx>
        <c:axId val="27046228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89461"/>
        <c:crosses val="autoZero"/>
        <c:crossBetween val="midCat"/>
        <c:dispUnits/>
      </c:valAx>
      <c:valAx>
        <c:axId val="42089461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Bodyweight of Finnish boys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462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28575</xdr:rowOff>
    </xdr:from>
    <xdr:to>
      <xdr:col>17</xdr:col>
      <xdr:colOff>438150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105525" y="361950"/>
        <a:ext cx="5905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26</xdr:row>
      <xdr:rowOff>66675</xdr:rowOff>
    </xdr:from>
    <xdr:to>
      <xdr:col>17</xdr:col>
      <xdr:colOff>438150</xdr:colOff>
      <xdr:row>50</xdr:row>
      <xdr:rowOff>28575</xdr:rowOff>
    </xdr:to>
    <xdr:graphicFrame>
      <xdr:nvGraphicFramePr>
        <xdr:cNvPr id="2" name="Chart 2"/>
        <xdr:cNvGraphicFramePr/>
      </xdr:nvGraphicFramePr>
      <xdr:xfrm>
        <a:off x="6105525" y="4286250"/>
        <a:ext cx="59055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K1">
      <selection activeCell="U15" sqref="U15"/>
    </sheetView>
  </sheetViews>
  <sheetFormatPr defaultColWidth="9.140625" defaultRowHeight="12.75"/>
  <cols>
    <col min="1" max="1" width="14.7109375" style="0" bestFit="1" customWidth="1"/>
    <col min="2" max="2" width="11.57421875" style="0" bestFit="1" customWidth="1"/>
    <col min="3" max="3" width="10.57421875" style="0" bestFit="1" customWidth="1"/>
    <col min="4" max="5" width="11.57421875" style="0" bestFit="1" customWidth="1"/>
    <col min="6" max="6" width="10.57421875" style="0" bestFit="1" customWidth="1"/>
    <col min="7" max="7" width="11.57421875" style="0" bestFit="1" customWidth="1"/>
    <col min="20" max="20" width="10.7109375" style="0" customWidth="1"/>
    <col min="22" max="22" width="12.7109375" style="0" customWidth="1"/>
    <col min="23" max="23" width="20.00390625" style="0" customWidth="1"/>
    <col min="26" max="26" width="13.00390625" style="0" customWidth="1"/>
  </cols>
  <sheetData>
    <row r="1" spans="1:27" ht="12.75">
      <c r="A1" s="10"/>
      <c r="B1" t="s">
        <v>3</v>
      </c>
      <c r="E1" s="1" t="s">
        <v>4</v>
      </c>
      <c r="F1" s="2"/>
      <c r="G1" s="2"/>
      <c r="I1" t="s">
        <v>6</v>
      </c>
      <c r="T1" s="11"/>
      <c r="U1" s="9"/>
      <c r="V1" s="9"/>
      <c r="W1" s="9"/>
      <c r="X1" s="11"/>
      <c r="Y1" s="9"/>
      <c r="Z1" s="9"/>
      <c r="AA1" s="9"/>
    </row>
    <row r="2" spans="1:27" ht="13.5" thickBot="1">
      <c r="A2" s="3" t="s">
        <v>5</v>
      </c>
      <c r="B2" s="3" t="s">
        <v>0</v>
      </c>
      <c r="C2" s="4" t="s">
        <v>2</v>
      </c>
      <c r="D2" s="4" t="s">
        <v>1</v>
      </c>
      <c r="E2" s="5" t="s">
        <v>0</v>
      </c>
      <c r="F2" s="4" t="s">
        <v>2</v>
      </c>
      <c r="G2" s="4" t="s">
        <v>1</v>
      </c>
      <c r="I2">
        <f>20/7.8</f>
        <v>2.5641025641025643</v>
      </c>
      <c r="S2" s="8"/>
      <c r="T2" s="11"/>
      <c r="U2" s="11"/>
      <c r="V2" s="11"/>
      <c r="W2" s="11"/>
      <c r="X2" s="11"/>
      <c r="Y2" s="11"/>
      <c r="Z2" s="11"/>
      <c r="AA2" s="11"/>
    </row>
    <row r="3" spans="1:27" ht="12.75">
      <c r="A3">
        <v>0</v>
      </c>
      <c r="B3" s="6">
        <f>1.35*$I$2</f>
        <v>3.461538461538462</v>
      </c>
      <c r="C3" s="6">
        <f>1.12*$I$2</f>
        <v>2.8717948717948723</v>
      </c>
      <c r="D3" s="6">
        <f>1.6*$I$2</f>
        <v>4.102564102564103</v>
      </c>
      <c r="E3" s="7">
        <f>1.42*$I$2</f>
        <v>3.641025641025641</v>
      </c>
      <c r="F3" s="7">
        <f>1.15*$I$2</f>
        <v>2.948717948717949</v>
      </c>
      <c r="G3" s="7">
        <f>1.6*$I$2</f>
        <v>4.102564102564103</v>
      </c>
      <c r="T3" s="12"/>
      <c r="U3" s="9"/>
      <c r="V3" s="9"/>
      <c r="W3" s="9"/>
      <c r="X3" s="12"/>
      <c r="Y3" s="9"/>
      <c r="Z3" s="9"/>
      <c r="AA3" s="9"/>
    </row>
    <row r="4" spans="1:27" ht="12.75">
      <c r="A4">
        <v>1</v>
      </c>
      <c r="B4" s="6">
        <f>1.6*$I$2</f>
        <v>4.102564102564103</v>
      </c>
      <c r="C4" s="6">
        <f>1.3*$I$2</f>
        <v>3.333333333333334</v>
      </c>
      <c r="D4" s="6">
        <f>1.8*$I$2</f>
        <v>4.615384615384616</v>
      </c>
      <c r="E4" s="7">
        <f>1.62*$I$2</f>
        <v>4.153846153846154</v>
      </c>
      <c r="F4" s="7">
        <f>1.32*$I$2</f>
        <v>3.384615384615385</v>
      </c>
      <c r="G4" s="7">
        <f>1.95*$I$2</f>
        <v>5</v>
      </c>
      <c r="T4" s="12"/>
      <c r="U4" s="9"/>
      <c r="V4" s="9"/>
      <c r="W4" s="9"/>
      <c r="X4" s="12"/>
      <c r="Y4" s="9"/>
      <c r="Z4" s="9"/>
      <c r="AA4" s="9"/>
    </row>
    <row r="5" spans="1:27" ht="12.75">
      <c r="A5">
        <v>2</v>
      </c>
      <c r="B5" s="6">
        <f>1.85*$I$2</f>
        <v>4.7435897435897445</v>
      </c>
      <c r="C5" s="6">
        <f>1.58*$I$2</f>
        <v>4.051282051282052</v>
      </c>
      <c r="D5" s="6">
        <f>2.12*$I$2</f>
        <v>5.435897435897437</v>
      </c>
      <c r="E5" s="7">
        <f>2*$I$2</f>
        <v>5.128205128205129</v>
      </c>
      <c r="F5" s="7">
        <f>1.55*$I$2</f>
        <v>3.974358974358975</v>
      </c>
      <c r="G5" s="7">
        <f>2.45*$I$2</f>
        <v>6.282051282051283</v>
      </c>
      <c r="T5" s="12"/>
      <c r="U5" s="9"/>
      <c r="V5" s="9"/>
      <c r="W5" s="9"/>
      <c r="X5" s="12"/>
      <c r="Y5" s="9"/>
      <c r="Z5" s="9"/>
      <c r="AA5" s="9"/>
    </row>
    <row r="6" spans="1:27" ht="12.75">
      <c r="A6">
        <v>3</v>
      </c>
      <c r="B6" s="6">
        <f>2.18*$I$2</f>
        <v>5.58974358974359</v>
      </c>
      <c r="C6" s="6">
        <f>1.85*$I$2</f>
        <v>4.7435897435897445</v>
      </c>
      <c r="D6" s="6">
        <f>2.5*$I$2</f>
        <v>6.410256410256411</v>
      </c>
      <c r="E6" s="7">
        <f>2.35*$I$2</f>
        <v>6.025641025641026</v>
      </c>
      <c r="F6" s="7">
        <f>1.75*$I$2</f>
        <v>4.487179487179487</v>
      </c>
      <c r="G6" s="7">
        <f>2.95*$I$2</f>
        <v>7.564102564102565</v>
      </c>
      <c r="T6" s="12"/>
      <c r="U6" s="9"/>
      <c r="V6" s="9"/>
      <c r="W6" s="9"/>
      <c r="X6" s="12"/>
      <c r="Y6" s="9"/>
      <c r="Z6" s="9"/>
      <c r="AA6" s="9"/>
    </row>
    <row r="7" spans="1:27" ht="12.75">
      <c r="A7">
        <v>4</v>
      </c>
      <c r="B7" s="6">
        <f>2.5*$I$2</f>
        <v>6.410256410256411</v>
      </c>
      <c r="C7" s="6">
        <f>2.1*$I$2</f>
        <v>5.384615384615385</v>
      </c>
      <c r="D7" s="6">
        <f>2.9*$I$2</f>
        <v>7.435897435897436</v>
      </c>
      <c r="E7" s="7">
        <f>2.65*$I$2</f>
        <v>6.794871794871796</v>
      </c>
      <c r="F7" s="7">
        <f>2*$I$2</f>
        <v>5.128205128205129</v>
      </c>
      <c r="G7" s="7">
        <f>3.4*$I$2</f>
        <v>8.717948717948719</v>
      </c>
      <c r="T7" s="12"/>
      <c r="U7" s="9"/>
      <c r="V7" s="9"/>
      <c r="W7" s="9"/>
      <c r="X7" s="12"/>
      <c r="Y7" s="9"/>
      <c r="Z7" s="9"/>
      <c r="AA7" s="9"/>
    </row>
    <row r="8" spans="1:27" ht="12.75">
      <c r="A8">
        <v>5</v>
      </c>
      <c r="B8" s="6">
        <f>2.8*$I$2</f>
        <v>7.17948717948718</v>
      </c>
      <c r="C8" s="6">
        <f>2.35*$I$2</f>
        <v>6.025641025641026</v>
      </c>
      <c r="D8" s="6">
        <f>3.25*$I$2</f>
        <v>8.333333333333334</v>
      </c>
      <c r="E8" s="7">
        <f>2.95*$I$2</f>
        <v>7.564102564102565</v>
      </c>
      <c r="F8" s="7">
        <f>2.2*$I$2</f>
        <v>5.641025641025642</v>
      </c>
      <c r="G8" s="7">
        <f>3.75*$I$2</f>
        <v>9.615384615384617</v>
      </c>
      <c r="T8" s="12"/>
      <c r="U8" s="9"/>
      <c r="V8" s="9"/>
      <c r="W8" s="9"/>
      <c r="X8" s="12"/>
      <c r="Y8" s="9"/>
      <c r="Z8" s="9"/>
      <c r="AA8" s="9"/>
    </row>
    <row r="9" spans="1:27" ht="12.75">
      <c r="A9">
        <v>6</v>
      </c>
      <c r="B9" s="6">
        <f>3.05*$I$2</f>
        <v>7.820512820512821</v>
      </c>
      <c r="C9" s="6">
        <f>2.5*$I$2</f>
        <v>6.410256410256411</v>
      </c>
      <c r="D9" s="6">
        <f>3.55*$I$2</f>
        <v>9.102564102564102</v>
      </c>
      <c r="E9" s="7">
        <f>3.175*$I$2</f>
        <v>8.14102564102564</v>
      </c>
      <c r="F9" s="7">
        <f>2.4*$I$2</f>
        <v>6.153846153846154</v>
      </c>
      <c r="G9" s="7">
        <f>3.95*$I$2</f>
        <v>10.12820512820513</v>
      </c>
      <c r="T9" s="12"/>
      <c r="U9" s="9"/>
      <c r="V9" s="9"/>
      <c r="W9" s="9"/>
      <c r="X9" s="12"/>
      <c r="Y9" s="9"/>
      <c r="Z9" s="9"/>
      <c r="AA9" s="9"/>
    </row>
    <row r="10" spans="1:27" ht="12.75">
      <c r="A10">
        <v>7</v>
      </c>
      <c r="B10" s="6">
        <f>3.2*$I$2</f>
        <v>8.205128205128206</v>
      </c>
      <c r="C10" s="6">
        <f>2.6*$I$2</f>
        <v>6.666666666666668</v>
      </c>
      <c r="D10" s="6">
        <f>3.9*$I$2</f>
        <v>10</v>
      </c>
      <c r="E10" s="7">
        <f>3.4*$I$2</f>
        <v>8.717948717948719</v>
      </c>
      <c r="F10" s="7">
        <f>2.55*$I$2</f>
        <v>6.538461538461538</v>
      </c>
      <c r="G10" s="7">
        <f>4.25*$I$2</f>
        <v>10.897435897435898</v>
      </c>
      <c r="T10" s="12"/>
      <c r="U10" s="9"/>
      <c r="V10" s="9"/>
      <c r="W10" s="9"/>
      <c r="X10" s="12"/>
      <c r="Y10" s="9"/>
      <c r="Z10" s="9"/>
      <c r="AA10" s="9"/>
    </row>
    <row r="11" spans="1:27" ht="12.75">
      <c r="A11">
        <v>8</v>
      </c>
      <c r="B11" s="6">
        <f>3.4*$I$2</f>
        <v>8.717948717948719</v>
      </c>
      <c r="C11" s="6">
        <f>2.7*$I$2</f>
        <v>6.923076923076924</v>
      </c>
      <c r="D11" s="6">
        <f>4.15*$I$2</f>
        <v>10.641025641025642</v>
      </c>
      <c r="E11" s="7">
        <f>3.57*$I$2</f>
        <v>9.153846153846155</v>
      </c>
      <c r="F11" s="7">
        <f>2.7*$I$2</f>
        <v>6.923076923076924</v>
      </c>
      <c r="G11" s="7">
        <f>4.45*$I$2</f>
        <v>11.410256410256412</v>
      </c>
      <c r="T11" s="12"/>
      <c r="U11" s="9"/>
      <c r="V11" s="9"/>
      <c r="W11" s="9"/>
      <c r="X11" s="12"/>
      <c r="Y11" s="9"/>
      <c r="Z11" s="9"/>
      <c r="AA11" s="9"/>
    </row>
    <row r="12" spans="1:27" ht="12.75">
      <c r="A12">
        <v>9</v>
      </c>
      <c r="B12" s="6">
        <f>3.55*$I$2</f>
        <v>9.102564102564102</v>
      </c>
      <c r="C12" s="6">
        <f>2.8*$I$2</f>
        <v>7.17948717948718</v>
      </c>
      <c r="D12" s="6">
        <f>4.35*$I$2</f>
        <v>11.153846153846153</v>
      </c>
      <c r="E12" s="7">
        <f>3.7*$I$2</f>
        <v>9.487179487179489</v>
      </c>
      <c r="F12" s="7">
        <f>2.82*$I$2</f>
        <v>7.230769230769231</v>
      </c>
      <c r="G12" s="7">
        <f>4.55*$I$2</f>
        <v>11.666666666666668</v>
      </c>
      <c r="T12" s="12"/>
      <c r="U12" s="9"/>
      <c r="V12" s="9"/>
      <c r="W12" s="9"/>
      <c r="X12" s="12"/>
      <c r="Y12" s="9"/>
      <c r="Z12" s="9"/>
      <c r="AA12" s="9"/>
    </row>
    <row r="13" spans="1:27" ht="12.75">
      <c r="A13">
        <v>10</v>
      </c>
      <c r="B13" s="6">
        <f>3.7*$I$2</f>
        <v>9.487179487179489</v>
      </c>
      <c r="C13" s="6">
        <f>2.9*$I$2</f>
        <v>7.435897435897436</v>
      </c>
      <c r="D13" s="6">
        <f>4.5*$I$2</f>
        <v>11.53846153846154</v>
      </c>
      <c r="E13" s="7">
        <f>3.825*$I$2</f>
        <v>9.807692307692308</v>
      </c>
      <c r="F13" s="7">
        <f>2.95*$I$2</f>
        <v>7.564102564102565</v>
      </c>
      <c r="G13" s="7">
        <f>4.7*$I$2</f>
        <v>12.051282051282053</v>
      </c>
      <c r="T13" s="12"/>
      <c r="U13" s="9"/>
      <c r="V13" s="9"/>
      <c r="W13" s="9"/>
      <c r="X13" s="12"/>
      <c r="Y13" s="9"/>
      <c r="Z13" s="9"/>
      <c r="AA13" s="9"/>
    </row>
    <row r="14" spans="1:27" ht="12.75">
      <c r="A14">
        <v>11</v>
      </c>
      <c r="B14" s="6">
        <f>3.8*$I$2</f>
        <v>9.743589743589745</v>
      </c>
      <c r="C14" s="6">
        <f>3*$I$2</f>
        <v>7.692307692307693</v>
      </c>
      <c r="D14" s="6">
        <f>4.75*$I$2</f>
        <v>12.17948717948718</v>
      </c>
      <c r="E14" s="7">
        <f>3.925*$I$2</f>
        <v>10.064102564102564</v>
      </c>
      <c r="F14" s="7">
        <f>3.05*$I$2</f>
        <v>7.820512820512821</v>
      </c>
      <c r="G14" s="7">
        <f>4.825*$I$2</f>
        <v>12.371794871794874</v>
      </c>
      <c r="T14" s="12"/>
      <c r="U14" s="9"/>
      <c r="V14" s="9"/>
      <c r="W14" s="9"/>
      <c r="X14" s="12"/>
      <c r="Y14" s="9"/>
      <c r="Z14" s="9"/>
      <c r="AA14" s="9"/>
    </row>
    <row r="15" spans="1:27" ht="12.75">
      <c r="A15">
        <v>12</v>
      </c>
      <c r="B15" s="6">
        <f>3.9*$I$2</f>
        <v>10</v>
      </c>
      <c r="C15" s="6">
        <f>3.025*$I$2</f>
        <v>7.756410256410257</v>
      </c>
      <c r="D15" s="6">
        <f>4.7*$I$2</f>
        <v>12.051282051282053</v>
      </c>
      <c r="E15" s="7">
        <f>4.05*$I$2</f>
        <v>10.384615384615385</v>
      </c>
      <c r="F15" s="7">
        <f>3.15*$I$2</f>
        <v>8.076923076923077</v>
      </c>
      <c r="G15" s="7">
        <f>4.95*$I$2</f>
        <v>12.692307692307693</v>
      </c>
      <c r="T15" s="12"/>
      <c r="U15" s="9"/>
      <c r="V15" s="9"/>
      <c r="W15" s="9"/>
      <c r="X15" s="12"/>
      <c r="Y15" s="9"/>
      <c r="Z15" s="9"/>
      <c r="AA15" s="9"/>
    </row>
    <row r="16" spans="1:27" ht="12.75">
      <c r="A16">
        <v>13</v>
      </c>
      <c r="B16" s="6">
        <f>4*$I$2</f>
        <v>10.256410256410257</v>
      </c>
      <c r="C16" s="6">
        <f>3.08*$I$2</f>
        <v>7.897435897435899</v>
      </c>
      <c r="D16" s="6">
        <f>4.85*$I$2</f>
        <v>12.435897435897436</v>
      </c>
      <c r="E16" s="7">
        <f>4.15*$I$2</f>
        <v>10.641025641025642</v>
      </c>
      <c r="F16" s="7">
        <f>3.25*$I$2</f>
        <v>8.333333333333334</v>
      </c>
      <c r="G16" s="7">
        <f>5.025*$I$2</f>
        <v>12.884615384615387</v>
      </c>
      <c r="T16" s="12"/>
      <c r="U16" s="9"/>
      <c r="V16" s="9"/>
      <c r="W16" s="9"/>
      <c r="X16" s="12"/>
      <c r="Y16" s="9"/>
      <c r="Z16" s="9"/>
      <c r="AA16" s="9"/>
    </row>
    <row r="17" spans="1:27" ht="12.75">
      <c r="A17">
        <v>14</v>
      </c>
      <c r="B17" s="6">
        <f>4.05*$I$2</f>
        <v>10.384615384615385</v>
      </c>
      <c r="C17" s="6">
        <f>3.15*$I$2</f>
        <v>8.076923076923077</v>
      </c>
      <c r="D17" s="6">
        <f>4.98*$I$2</f>
        <v>12.769230769230772</v>
      </c>
      <c r="E17" s="7">
        <f>4.25*$I$2</f>
        <v>10.897435897435898</v>
      </c>
      <c r="F17" s="7">
        <f>3.325*$I$2</f>
        <v>8.525641025641027</v>
      </c>
      <c r="G17" s="7">
        <f>5.15*$I$2</f>
        <v>13.205128205128208</v>
      </c>
      <c r="T17" s="12"/>
      <c r="U17" s="9"/>
      <c r="V17" s="9"/>
      <c r="W17" s="9"/>
      <c r="X17" s="12"/>
      <c r="Y17" s="9"/>
      <c r="Z17" s="9"/>
      <c r="AA17" s="9"/>
    </row>
    <row r="18" spans="1:27" ht="12.75">
      <c r="A18">
        <v>15</v>
      </c>
      <c r="B18" s="6">
        <f>4.15*$I$2</f>
        <v>10.641025641025642</v>
      </c>
      <c r="C18" s="6">
        <f>3.2*$I$2</f>
        <v>8.205128205128206</v>
      </c>
      <c r="D18" s="6">
        <f>5.1*$I$2</f>
        <v>13.076923076923077</v>
      </c>
      <c r="E18" s="7">
        <f>4.3*$I$2</f>
        <v>11.025641025641026</v>
      </c>
      <c r="F18" s="7">
        <f>3.4*$I$2</f>
        <v>8.717948717948719</v>
      </c>
      <c r="G18" s="7">
        <f>5.2*$I$2</f>
        <v>13.333333333333336</v>
      </c>
      <c r="T18" s="12"/>
      <c r="U18" s="9"/>
      <c r="V18" s="9"/>
      <c r="W18" s="9"/>
      <c r="X18" s="12"/>
      <c r="Y18" s="9"/>
      <c r="Z18" s="9"/>
      <c r="AA18" s="9"/>
    </row>
    <row r="19" spans="1:27" ht="12.75">
      <c r="A19">
        <v>16</v>
      </c>
      <c r="B19" s="6">
        <f>4.25*$I$2</f>
        <v>10.897435897435898</v>
      </c>
      <c r="C19" s="6">
        <f>3.3*$I$2</f>
        <v>8.461538461538462</v>
      </c>
      <c r="D19" s="6">
        <f>5.2*$I$2</f>
        <v>13.333333333333336</v>
      </c>
      <c r="E19" s="7">
        <f>4.35*$I$2</f>
        <v>11.153846153846153</v>
      </c>
      <c r="F19" s="7">
        <f>3.45*$I$2</f>
        <v>8.846153846153847</v>
      </c>
      <c r="G19" s="7">
        <f>5.28*$I$2</f>
        <v>13.53846153846154</v>
      </c>
      <c r="T19" s="12"/>
      <c r="U19" s="9"/>
      <c r="V19" s="9"/>
      <c r="W19" s="9"/>
      <c r="X19" s="12"/>
      <c r="Y19" s="9"/>
      <c r="Z19" s="9"/>
      <c r="AA19" s="9"/>
    </row>
    <row r="20" spans="1:27" ht="12.75">
      <c r="A20">
        <v>17</v>
      </c>
      <c r="B20" s="6">
        <f>4.33*$I$2</f>
        <v>11.102564102564104</v>
      </c>
      <c r="C20" s="6">
        <f>3.35*$I$2</f>
        <v>8.589743589743591</v>
      </c>
      <c r="D20" s="6">
        <f>5.35*$I$2</f>
        <v>13.717948717948719</v>
      </c>
      <c r="E20" s="7">
        <f>4.4*$I$2</f>
        <v>11.282051282051285</v>
      </c>
      <c r="F20" s="7">
        <f>3.5*$I$2</f>
        <v>8.974358974358974</v>
      </c>
      <c r="G20" s="7">
        <f>5.325*$I$2</f>
        <v>13.653846153846155</v>
      </c>
      <c r="T20" s="12"/>
      <c r="U20" s="9"/>
      <c r="V20" s="9"/>
      <c r="W20" s="9"/>
      <c r="X20" s="12"/>
      <c r="Y20" s="9"/>
      <c r="Z20" s="9"/>
      <c r="AA20" s="9"/>
    </row>
    <row r="21" spans="1:27" ht="12.75">
      <c r="A21">
        <v>18</v>
      </c>
      <c r="B21" s="6">
        <f>4.43*$I$2</f>
        <v>11.35897435897436</v>
      </c>
      <c r="C21" s="6">
        <f>3.4*$I$2</f>
        <v>8.717948717948719</v>
      </c>
      <c r="D21" s="6">
        <f>5.45*$I$2</f>
        <v>13.974358974358976</v>
      </c>
      <c r="E21" s="7">
        <f>4.475*$I$2</f>
        <v>11.474358974358974</v>
      </c>
      <c r="F21" s="7">
        <f>3.55*$I$2</f>
        <v>9.102564102564102</v>
      </c>
      <c r="G21" s="7">
        <f>5.4*$I$2</f>
        <v>13.846153846153848</v>
      </c>
      <c r="T21" s="12"/>
      <c r="U21" s="9"/>
      <c r="V21" s="9"/>
      <c r="W21" s="9"/>
      <c r="X21" s="12"/>
      <c r="Y21" s="9"/>
      <c r="Z21" s="9"/>
      <c r="AA21" s="9"/>
    </row>
    <row r="22" spans="1:27" ht="12.75">
      <c r="A22">
        <v>19</v>
      </c>
      <c r="B22" s="6">
        <f>4.5*$I$2</f>
        <v>11.53846153846154</v>
      </c>
      <c r="C22" s="6">
        <f>3.45*$I$2</f>
        <v>8.846153846153847</v>
      </c>
      <c r="D22" s="6">
        <f>5.5*$I$2</f>
        <v>14.102564102564104</v>
      </c>
      <c r="E22" s="7">
        <f>4.55*$I$2</f>
        <v>11.666666666666668</v>
      </c>
      <c r="F22" s="7">
        <f>3.625*$I$2</f>
        <v>9.294871794871796</v>
      </c>
      <c r="G22" s="7">
        <f>5.475*$I$2</f>
        <v>14.038461538461538</v>
      </c>
      <c r="T22" s="12"/>
      <c r="U22" s="9"/>
      <c r="V22" s="9"/>
      <c r="W22" s="9"/>
      <c r="X22" s="12"/>
      <c r="Y22" s="9"/>
      <c r="Z22" s="9"/>
      <c r="AA22" s="9"/>
    </row>
    <row r="23" spans="1:27" ht="12.75">
      <c r="A23">
        <v>20</v>
      </c>
      <c r="B23" s="6">
        <f>4.55*$I$2</f>
        <v>11.666666666666668</v>
      </c>
      <c r="C23" s="6">
        <f>3.475*$I$2</f>
        <v>8.91025641025641</v>
      </c>
      <c r="D23" s="6">
        <f>5.65*$I$2</f>
        <v>14.487179487179489</v>
      </c>
      <c r="E23" s="7">
        <f>4.625*$I$2</f>
        <v>11.85897435897436</v>
      </c>
      <c r="F23" s="7">
        <f>3.7*$I$2</f>
        <v>9.487179487179489</v>
      </c>
      <c r="G23" s="7">
        <f>5.6*$I$2</f>
        <v>14.35897435897436</v>
      </c>
      <c r="T23" s="12"/>
      <c r="U23" s="9"/>
      <c r="V23" s="9"/>
      <c r="W23" s="9"/>
      <c r="X23" s="12"/>
      <c r="Y23" s="9"/>
      <c r="Z23" s="9"/>
      <c r="AA23" s="9"/>
    </row>
    <row r="24" spans="1:27" ht="12.75">
      <c r="A24">
        <v>21</v>
      </c>
      <c r="B24" s="6">
        <f>4.61*$I$2</f>
        <v>11.820512820512823</v>
      </c>
      <c r="C24" s="6">
        <f>3.5*$I$2</f>
        <v>8.974358974358974</v>
      </c>
      <c r="D24" s="6">
        <f>5.7*$I$2</f>
        <v>14.615384615384617</v>
      </c>
      <c r="E24" s="7">
        <f>4.7*$I$2</f>
        <v>12.051282051282053</v>
      </c>
      <c r="F24" s="7">
        <f>3.73*$I$2</f>
        <v>9.564102564102566</v>
      </c>
      <c r="G24" s="7">
        <f>5.7*$I$2</f>
        <v>14.615384615384617</v>
      </c>
      <c r="T24" s="12"/>
      <c r="U24" s="9"/>
      <c r="V24" s="9"/>
      <c r="W24" s="9"/>
      <c r="X24" s="12"/>
      <c r="Y24" s="9"/>
      <c r="Z24" s="9"/>
      <c r="AA24" s="9"/>
    </row>
    <row r="25" spans="1:27" ht="12.75">
      <c r="A25">
        <v>22</v>
      </c>
      <c r="B25" s="6">
        <f>4.7*$I$2</f>
        <v>12.051282051282053</v>
      </c>
      <c r="C25" s="6">
        <f>3.58*$I$2</f>
        <v>9.17948717948718</v>
      </c>
      <c r="D25" s="6">
        <f>5.825*$I$2</f>
        <v>14.935897435897438</v>
      </c>
      <c r="E25" s="7">
        <f>4.8*$I$2</f>
        <v>12.307692307692308</v>
      </c>
      <c r="F25" s="7">
        <f>3.775*$I$2</f>
        <v>9.67948717948718</v>
      </c>
      <c r="G25" s="7">
        <f>5.775*$I$2</f>
        <v>14.80769230769231</v>
      </c>
      <c r="T25" s="12"/>
      <c r="U25" s="9"/>
      <c r="V25" s="9"/>
      <c r="W25" s="9"/>
      <c r="X25" s="12"/>
      <c r="Y25" s="9"/>
      <c r="Z25" s="9"/>
      <c r="AA25" s="9"/>
    </row>
    <row r="26" spans="1:27" ht="12.75">
      <c r="A26">
        <v>23</v>
      </c>
      <c r="B26" s="6">
        <f>4.72*$I$2</f>
        <v>12.102564102564102</v>
      </c>
      <c r="C26" s="6">
        <f>3.6*$I$2</f>
        <v>9.230769230769232</v>
      </c>
      <c r="D26" s="6">
        <f>5.93*$I$2</f>
        <v>15.205128205128206</v>
      </c>
      <c r="E26" s="7">
        <f>4.85*$I$2</f>
        <v>12.435897435897436</v>
      </c>
      <c r="F26" s="7">
        <f>3.8*$I$2</f>
        <v>9.743589743589745</v>
      </c>
      <c r="G26" s="7">
        <f>5.9*$I$2</f>
        <v>15.12820512820513</v>
      </c>
      <c r="T26" s="12"/>
      <c r="U26" s="9"/>
      <c r="V26" s="9"/>
      <c r="W26" s="9"/>
      <c r="X26" s="12"/>
      <c r="Y26" s="9"/>
      <c r="Z26" s="9"/>
      <c r="AA26" s="9"/>
    </row>
    <row r="27" spans="1:27" ht="12.75">
      <c r="A27">
        <v>24</v>
      </c>
      <c r="B27" s="6">
        <f>4.8*$I$2</f>
        <v>12.307692307692308</v>
      </c>
      <c r="C27" s="6">
        <f>3.63*$I$2</f>
        <v>9.307692307692308</v>
      </c>
      <c r="D27" s="6">
        <f>6.025*$I$2</f>
        <v>15.44871794871795</v>
      </c>
      <c r="E27" s="7">
        <f>4.9*$I$2</f>
        <v>12.564102564102566</v>
      </c>
      <c r="F27" s="7">
        <f>3.8*$I$2</f>
        <v>9.743589743589745</v>
      </c>
      <c r="G27" s="7">
        <f>6.05*$I$2</f>
        <v>15.512820512820515</v>
      </c>
      <c r="T27" s="12"/>
      <c r="U27" s="9"/>
      <c r="V27" s="9"/>
      <c r="W27" s="9"/>
      <c r="X27" s="12"/>
      <c r="Y27" s="9"/>
      <c r="Z27" s="9"/>
      <c r="AA27" s="9"/>
    </row>
    <row r="28" spans="2:26" ht="12.75">
      <c r="B28" s="6"/>
      <c r="V28" s="9"/>
      <c r="W28" s="9"/>
      <c r="X28" s="9"/>
      <c r="Y28" s="9"/>
      <c r="Z28" s="9"/>
    </row>
    <row r="30" spans="2:4" ht="12.75">
      <c r="B30" s="6"/>
      <c r="C30" s="6"/>
      <c r="D30" s="6"/>
    </row>
    <row r="31" spans="2:4" ht="12.75">
      <c r="B31" s="6"/>
      <c r="C31" s="6"/>
      <c r="D31" s="6"/>
    </row>
    <row r="32" spans="2:4" ht="12.75">
      <c r="B32" s="6"/>
      <c r="C32" s="6"/>
      <c r="D32" s="6"/>
    </row>
    <row r="33" spans="2:4" ht="12.75">
      <c r="B33" s="6"/>
      <c r="C33" s="6"/>
      <c r="D33" s="6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6"/>
      <c r="C36" s="6"/>
      <c r="D36" s="6"/>
    </row>
    <row r="37" spans="2:4" ht="12.75">
      <c r="B37" s="6"/>
      <c r="C37" s="6"/>
      <c r="D37" s="6"/>
    </row>
    <row r="38" spans="2:4" ht="12.75">
      <c r="B38" s="6"/>
      <c r="C38" s="6"/>
      <c r="D38" s="6"/>
    </row>
    <row r="39" spans="2:4" ht="12.75">
      <c r="B39" s="6"/>
      <c r="C39" s="6"/>
      <c r="D39" s="6"/>
    </row>
    <row r="40" spans="2:4" ht="12.75">
      <c r="B40" s="6"/>
      <c r="C40" s="6"/>
      <c r="D40" s="6"/>
    </row>
    <row r="41" spans="2:4" ht="12.75">
      <c r="B41" s="6"/>
      <c r="C41" s="6"/>
      <c r="D41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KTL / YTOS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olex</dc:creator>
  <cp:keywords/>
  <dc:description/>
  <cp:lastModifiedBy>jesionek</cp:lastModifiedBy>
  <cp:lastPrinted>2009-02-26T14:00:59Z</cp:lastPrinted>
  <dcterms:created xsi:type="dcterms:W3CDTF">2008-10-01T07:32:00Z</dcterms:created>
  <dcterms:modified xsi:type="dcterms:W3CDTF">2009-05-26T10:30:09Z</dcterms:modified>
  <cp:category/>
  <cp:version/>
  <cp:contentType/>
  <cp:contentStatus/>
</cp:coreProperties>
</file>