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90" yWindow="65311" windowWidth="16050" windowHeight="14130" activeTab="2"/>
  </bookViews>
  <sheets>
    <sheet name="Mtoe" sheetId="1" r:id="rId1"/>
    <sheet name="PMemission" sheetId="2" r:id="rId2"/>
    <sheet name="Intake" sheetId="3" r:id="rId3"/>
    <sheet name="Combustor" sheetId="4" r:id="rId4"/>
  </sheets>
  <definedNames/>
  <calcPr fullCalcOnLoad="1"/>
</workbook>
</file>

<file path=xl/sharedStrings.xml><?xml version="1.0" encoding="utf-8"?>
<sst xmlns="http://schemas.openxmlformats.org/spreadsheetml/2006/main" count="2613" uniqueCount="462">
  <si>
    <t xml:space="preserve">Supply and </t>
  </si>
  <si>
    <t>consumption</t>
  </si>
  <si>
    <t>Production</t>
  </si>
  <si>
    <t>Intl marine bunkers</t>
  </si>
  <si>
    <t>Intl aviation bunkers</t>
  </si>
  <si>
    <t>Imports</t>
  </si>
  <si>
    <t>Exports</t>
  </si>
  <si>
    <t>Stock changes</t>
  </si>
  <si>
    <t>TPES</t>
  </si>
  <si>
    <t>Transfers</t>
  </si>
  <si>
    <t>Electricity plants</t>
  </si>
  <si>
    <t>CHP Plants</t>
  </si>
  <si>
    <t>Heat plants</t>
  </si>
  <si>
    <t>Statistical differences</t>
  </si>
  <si>
    <t>Gas works</t>
  </si>
  <si>
    <t>Petroleum refineries</t>
  </si>
  <si>
    <t>Coal transformation</t>
  </si>
  <si>
    <t>Liquefication plants</t>
  </si>
  <si>
    <t>Other transformation</t>
  </si>
  <si>
    <t>Own use</t>
  </si>
  <si>
    <t>Distribution losses</t>
  </si>
  <si>
    <t>TFC</t>
  </si>
  <si>
    <t>Industry sector</t>
  </si>
  <si>
    <t>Iron and steel</t>
  </si>
  <si>
    <t>Chemical and petrochem</t>
  </si>
  <si>
    <t>Non-ferrous metals</t>
  </si>
  <si>
    <t>Non-metallic minerals</t>
  </si>
  <si>
    <t>Transport equipment</t>
  </si>
  <si>
    <t>Machinery</t>
  </si>
  <si>
    <t>Mining and quarrying</t>
  </si>
  <si>
    <t>Food and tobacco</t>
  </si>
  <si>
    <t>Paper, pulp &amp; printing</t>
  </si>
  <si>
    <t>Wood and wood products</t>
  </si>
  <si>
    <t>Construction</t>
  </si>
  <si>
    <t>Textile and leather</t>
  </si>
  <si>
    <t>Non-specified</t>
  </si>
  <si>
    <t>Transport sector</t>
  </si>
  <si>
    <t>Domestic aviation</t>
  </si>
  <si>
    <t>Road transport</t>
  </si>
  <si>
    <t>Rail transport</t>
  </si>
  <si>
    <t>Pipeline transport</t>
  </si>
  <si>
    <t>Domestic navigation</t>
  </si>
  <si>
    <t>Other sectors</t>
  </si>
  <si>
    <t>Residential</t>
  </si>
  <si>
    <t>Community &amp; public services</t>
  </si>
  <si>
    <t>Agriculture &amp; forestry</t>
  </si>
  <si>
    <t>Fishing</t>
  </si>
  <si>
    <t>Non-energy use</t>
  </si>
  <si>
    <t>in industry/transf./energy</t>
  </si>
  <si>
    <t xml:space="preserve">      of which: feedstocks</t>
  </si>
  <si>
    <t>in transport</t>
  </si>
  <si>
    <t>in other sectors</t>
  </si>
  <si>
    <t>Electricity and heat output</t>
  </si>
  <si>
    <t>Electricity generated - TWh</t>
  </si>
  <si>
    <t xml:space="preserve">     Electricity plants</t>
  </si>
  <si>
    <t xml:space="preserve">     CHP plants</t>
  </si>
  <si>
    <t>Heat generated - PJ</t>
  </si>
  <si>
    <t xml:space="preserve">    CHP-plants</t>
  </si>
  <si>
    <t xml:space="preserve">    Heat plants</t>
  </si>
  <si>
    <t>peat</t>
  </si>
  <si>
    <t>Coal &amp;</t>
  </si>
  <si>
    <t>Crude</t>
  </si>
  <si>
    <t>Gas</t>
  </si>
  <si>
    <t>Nuclear</t>
  </si>
  <si>
    <t>Hydro</t>
  </si>
  <si>
    <t>Geothermal</t>
  </si>
  <si>
    <t>Combust</t>
  </si>
  <si>
    <t>Electricity</t>
  </si>
  <si>
    <t>Heat</t>
  </si>
  <si>
    <t>Total</t>
  </si>
  <si>
    <t>Petrochem</t>
  </si>
  <si>
    <t>oil</t>
  </si>
  <si>
    <t>products</t>
  </si>
  <si>
    <t>renew,waste</t>
  </si>
  <si>
    <t>solar,wind</t>
  </si>
  <si>
    <t>Total Primary Energy Supply</t>
  </si>
  <si>
    <t>Total Final Consumption</t>
  </si>
  <si>
    <t>Million tons of oil equivalent (Mtoe) per year</t>
  </si>
  <si>
    <t>Total available for final consumption</t>
  </si>
  <si>
    <t>CHP plants, electricity</t>
  </si>
  <si>
    <t>CHP plants, heat</t>
  </si>
  <si>
    <t>Fossil</t>
  </si>
  <si>
    <t>Difference True-Target</t>
  </si>
  <si>
    <t>Thermal conversion efficiency for new installations after 2007</t>
  </si>
  <si>
    <r>
      <t>CO</t>
    </r>
    <r>
      <rPr>
        <b/>
        <vertAlign val="subscript"/>
        <sz val="11"/>
        <rFont val="Arial"/>
        <family val="2"/>
      </rPr>
      <t>2</t>
    </r>
    <r>
      <rPr>
        <b/>
        <sz val="11"/>
        <rFont val="Arial"/>
        <family val="2"/>
      </rPr>
      <t xml:space="preserve"> in year 2020</t>
    </r>
  </si>
  <si>
    <r>
      <t>Million tons of carbon dioxide (MtCO</t>
    </r>
    <r>
      <rPr>
        <b/>
        <vertAlign val="subscript"/>
        <sz val="12"/>
        <rFont val="Arial"/>
        <family val="2"/>
      </rPr>
      <t>2</t>
    </r>
    <r>
      <rPr>
        <b/>
        <sz val="12"/>
        <rFont val="Arial"/>
        <family val="2"/>
      </rPr>
      <t>) per year</t>
    </r>
  </si>
  <si>
    <t>Thermal conversion efficiency, stock of 2007</t>
  </si>
  <si>
    <t>Available at http://www.iea.org/Textbase/publications/free_new_Desc.asp?PUBS_ID=2033</t>
  </si>
  <si>
    <t>*)</t>
  </si>
  <si>
    <t>*) modified from original IEA 2000 Energy Balance data sheet. Other data are not affected</t>
  </si>
  <si>
    <t>Total Primary energy use for energy conversion</t>
  </si>
  <si>
    <t xml:space="preserve">Primary Energy </t>
  </si>
  <si>
    <t>Supply and Consumptiononsumption</t>
  </si>
  <si>
    <t>The gray area of columns A…L is copied directly from IEA 2009 (see reference below table), and can be replaced with 2007 baseline data from any other country from the same document. In the particular case of Finland, apparet errors in the dividion of fuel use for CHP and Heat Plants - resulting in too low efficiency for CHP and 110% (!) thermal efficiency for Heat Plants was corrected in a way that did not change the overall balances. The unit is the same for all energies, tons of oil equivalent, used by IEA and others, and allowing direct replacement of, e.g. 1 toe of gas by 1 toe of oil, etc.</t>
  </si>
  <si>
    <t>Comb.renew.</t>
  </si>
  <si>
    <t>biomass waste</t>
  </si>
  <si>
    <t>Total available for Final Energy Consumption</t>
  </si>
  <si>
    <t>Total Final Enrgy Consumption</t>
  </si>
  <si>
    <r>
      <t>MtCO</t>
    </r>
    <r>
      <rPr>
        <vertAlign val="subscript"/>
        <sz val="10"/>
        <rFont val="Arial"/>
        <family val="2"/>
      </rPr>
      <t>2</t>
    </r>
    <r>
      <rPr>
        <sz val="10"/>
        <rFont val="Arial"/>
        <family val="0"/>
      </rPr>
      <t>/Mtoe</t>
    </r>
  </si>
  <si>
    <t xml:space="preserve">No values should be entered in this section, because columns AA...AK are computed from the data in columns B..Y. Once the (preliminary) changes in energy use, conversion and supply have been made in the blue cells, their impacts need to be balanced, i.e. the values in AA32…AK32 must - approxiomately - equal those in AA33…AK33, and AA18..AK18 must equal AA19...AK19, i.e. supplies and demans must be balanced. This is done by adjusting the values in the blue cells, first to match supply and demand for final consumption (rows 32 and 33) and then supply and demand for energy conversion (rows 18 and 19). Trial and error is the method of choice here. </t>
  </si>
  <si>
    <r>
      <t>The values below are CO</t>
    </r>
    <r>
      <rPr>
        <vertAlign val="subscript"/>
        <sz val="10"/>
        <rFont val="Arial"/>
        <family val="2"/>
      </rPr>
      <t>2</t>
    </r>
    <r>
      <rPr>
        <sz val="10"/>
        <rFont val="Arial"/>
        <family val="0"/>
      </rPr>
      <t xml:space="preserve"> emissions from the combustion of each fuel of interest</t>
    </r>
  </si>
  <si>
    <t xml:space="preserve"> The blue areas contain the transfer factors from source data, B…L, 2007, to target data, AA…AK, 2030 (or any other selected year). Value of 1.0 means, no change, 1.25 means 25% increase, 0.7 means 30% decrease, etc. Initially all values are 1.00 and, consequently, the target balance sheet, AA...AK is identical to source balance sheet, and in balance, which means that row 21 is identical to row 22, and row 35 identical to row 36. All changes from the source (2007) to the target year (2030) are enterd by changing the transfer factors in the blue areas from 1.00 to other values for the use of fuels and energy in the Final Consumption (bottom), Primay Energy Use for Energy Conversion (lower center) or Supply for Consumption (upper center) sections. No values should be entered in the orange cells. The values in the green cells should not be changed without understanding.</t>
  </si>
  <si>
    <r>
      <t>The</t>
    </r>
    <r>
      <rPr>
        <b/>
        <sz val="10"/>
        <rFont val="Arial"/>
        <family val="2"/>
      </rPr>
      <t xml:space="preserve"> thermal conversion efficiencies</t>
    </r>
    <r>
      <rPr>
        <sz val="10"/>
        <rFont val="Arial"/>
        <family val="0"/>
      </rPr>
      <t xml:space="preserve"> (B4…K7) apply for Finland in 2007, and can be used as starting points for other countries. Some adjustmenst, however, are necessary to balance sheet AA…AK for any new country. The thermal conversion efficiencies for new installations (O4 ... X7) are more generic, and should only be changed with sufficient knowledge. </t>
    </r>
  </si>
  <si>
    <r>
      <t xml:space="preserve">A </t>
    </r>
    <r>
      <rPr>
        <b/>
        <sz val="10"/>
        <rFont val="Arial"/>
        <family val="2"/>
      </rPr>
      <t>word of warning:</t>
    </r>
    <r>
      <rPr>
        <sz val="10"/>
        <rFont val="Arial"/>
        <family val="0"/>
      </rPr>
      <t xml:space="preserve"> The balance sheet works at an annual level. You can balance the annual sheet in ways which are impossible e.g. at daily or hourly levels. E.g. solar and wind power must be backed up by adequate alternative power supplies for low wind periods. The needs and means for the alternative supply vary significantly between the countries. </t>
    </r>
  </si>
  <si>
    <t>Consider the possibilities of attaching emission factors and intake fractions for each fuel use (incl. Industrial) and energy conversion process</t>
  </si>
  <si>
    <t>Create an OECD/Europe version of the baseline sheet.</t>
  </si>
  <si>
    <r>
      <t>Start CO</t>
    </r>
    <r>
      <rPr>
        <b/>
        <vertAlign val="subscript"/>
        <sz val="12"/>
        <color indexed="9"/>
        <rFont val="Arial"/>
        <family val="2"/>
      </rPr>
      <t>2</t>
    </r>
    <r>
      <rPr>
        <b/>
        <sz val="12"/>
        <color indexed="9"/>
        <rFont val="Arial"/>
        <family val="2"/>
      </rPr>
      <t>, year 2007</t>
    </r>
  </si>
  <si>
    <r>
      <t>CO</t>
    </r>
    <r>
      <rPr>
        <b/>
        <vertAlign val="subscript"/>
        <sz val="11"/>
        <rFont val="Arial"/>
        <family val="2"/>
      </rPr>
      <t>2</t>
    </r>
    <r>
      <rPr>
        <b/>
        <sz val="11"/>
        <rFont val="Arial"/>
        <family val="2"/>
      </rPr>
      <t xml:space="preserve"> in year 2007</t>
    </r>
  </si>
  <si>
    <t>…generation of heat and power</t>
  </si>
  <si>
    <t>Energy balance sheet, OECD Europe 2007 (IEA,2009)</t>
  </si>
  <si>
    <t>%</t>
  </si>
  <si>
    <t>allocated to end users</t>
  </si>
  <si>
    <t>Of total CO2 emission</t>
  </si>
  <si>
    <t>Relative change from start year 2007 to year 2030</t>
  </si>
  <si>
    <r>
      <t>Target CO</t>
    </r>
    <r>
      <rPr>
        <b/>
        <vertAlign val="subscript"/>
        <sz val="11"/>
        <color indexed="9"/>
        <rFont val="Arial"/>
        <family val="2"/>
      </rPr>
      <t>2</t>
    </r>
    <r>
      <rPr>
        <b/>
        <sz val="11"/>
        <color indexed="9"/>
        <rFont val="Arial"/>
        <family val="2"/>
      </rPr>
      <t xml:space="preserve"> year 2030</t>
    </r>
  </si>
  <si>
    <t>-54.73 **)</t>
  </si>
  <si>
    <t>-45.79 **)</t>
  </si>
  <si>
    <t>Energy balance sheet, OECD Europe 2007</t>
  </si>
  <si>
    <t>International navigation</t>
  </si>
  <si>
    <t>International aviation</t>
  </si>
  <si>
    <r>
      <t>Domestic</t>
    </r>
    <r>
      <rPr>
        <sz val="10"/>
        <rFont val="Arial"/>
        <family val="0"/>
      </rPr>
      <t xml:space="preserve"> aviation</t>
    </r>
  </si>
  <si>
    <r>
      <t xml:space="preserve">Domestic </t>
    </r>
    <r>
      <rPr>
        <sz val="10"/>
        <rFont val="Arial"/>
        <family val="0"/>
      </rPr>
      <t>navigation</t>
    </r>
  </si>
  <si>
    <t>Imnternational aviation</t>
  </si>
  <si>
    <t>**) domestic supply of fuels for international aviation and navigation are moved to rows 50 and 54 respectively</t>
  </si>
  <si>
    <t>Renewable energy</t>
  </si>
  <si>
    <t>% of total</t>
  </si>
  <si>
    <t>Non-carbon energy</t>
  </si>
  <si>
    <t>Of fossil CO2 emission</t>
  </si>
  <si>
    <t xml:space="preserve">Intl aviation bunkers </t>
  </si>
  <si>
    <t>from own use and distribution losses</t>
  </si>
  <si>
    <t>of heat and power generation</t>
  </si>
  <si>
    <t>International Energy Agency, Energy Balances of OECD Countries, OECD/IEA, 2009, Paris, 354 pp.</t>
  </si>
  <si>
    <r>
      <t>OECD Europe</t>
    </r>
    <r>
      <rPr>
        <sz val="10"/>
        <rFont val="Arial Narrow"/>
        <family val="2"/>
      </rPr>
      <t xml:space="preserve"> consists of </t>
    </r>
    <r>
      <rPr>
        <b/>
        <sz val="10"/>
        <rFont val="Arial Narrow"/>
        <family val="2"/>
      </rPr>
      <t>EU-27</t>
    </r>
    <r>
      <rPr>
        <sz val="10"/>
        <rFont val="Arial Narrow"/>
        <family val="2"/>
      </rPr>
      <t xml:space="preserve">,                                 </t>
    </r>
    <r>
      <rPr>
        <b/>
        <sz val="10"/>
        <rFont val="Arial Narrow"/>
        <family val="2"/>
      </rPr>
      <t>MINUS</t>
    </r>
    <r>
      <rPr>
        <sz val="10"/>
        <rFont val="Arial Narrow"/>
        <family val="2"/>
      </rPr>
      <t xml:space="preserve"> Bulgaria, Cyprus, Estonia, Latvia, Lithuania, Malta, Romania and Slovenia,                                  </t>
    </r>
    <r>
      <rPr>
        <b/>
        <sz val="10"/>
        <rFont val="Arial Narrow"/>
        <family val="2"/>
      </rPr>
      <t>PLUS</t>
    </r>
    <r>
      <rPr>
        <sz val="10"/>
        <rFont val="Arial Narrow"/>
        <family val="2"/>
      </rPr>
      <t xml:space="preserve"> Iceland, Norway, Switzerland and Turkey</t>
    </r>
  </si>
  <si>
    <r>
      <t>Once a (approximate) balance has been reached, you can see how the changes (savings) that you have introduced in the final consumption, changes between the alternative energy sources (e.g. gas, electricity and biomass for residential heating), and changes between the alternative energy supplies (e.g. coal, oil and biomass for CHP generation) affect the total energy supply and CO</t>
    </r>
    <r>
      <rPr>
        <vertAlign val="subscript"/>
        <sz val="10"/>
        <rFont val="Arial Narrow"/>
        <family val="2"/>
      </rPr>
      <t>2</t>
    </r>
    <r>
      <rPr>
        <sz val="10"/>
        <rFont val="Arial Narrow"/>
        <family val="2"/>
      </rPr>
      <t xml:space="preserve"> emissions from the use of each fuel (AN18...AU18), total CO</t>
    </r>
    <r>
      <rPr>
        <vertAlign val="subscript"/>
        <sz val="10"/>
        <rFont val="Arial Narrow"/>
        <family val="2"/>
      </rPr>
      <t>2</t>
    </r>
    <r>
      <rPr>
        <sz val="10"/>
        <rFont val="Arial Narrow"/>
        <family val="2"/>
      </rPr>
      <t xml:space="preserve"> (AX18) and CO</t>
    </r>
    <r>
      <rPr>
        <vertAlign val="subscript"/>
        <sz val="10"/>
        <rFont val="Arial Narrow"/>
        <family val="2"/>
      </rPr>
      <t>2</t>
    </r>
    <r>
      <rPr>
        <sz val="10"/>
        <rFont val="Arial Narrow"/>
        <family val="2"/>
      </rPr>
      <t xml:space="preserve"> from fossil fuel (AY18) use. This can then be compared to the target value for fossil CO</t>
    </r>
    <r>
      <rPr>
        <vertAlign val="subscript"/>
        <sz val="10"/>
        <rFont val="Arial Narrow"/>
        <family val="2"/>
      </rPr>
      <t>2</t>
    </r>
    <r>
      <rPr>
        <sz val="10"/>
        <rFont val="Arial Narrow"/>
        <family val="2"/>
      </rPr>
      <t xml:space="preserve"> (AY17), and the difference between the true and the target value. If the target is nor reached by the policy, you need to modify/strengthen your energy use, conversion and supply policies, and rebalance table AA...AK.</t>
    </r>
  </si>
  <si>
    <t>Fuel ash contents (%)</t>
  </si>
  <si>
    <t>Fuel sulfur contents (%)</t>
  </si>
  <si>
    <t>TPEU/Energy Conversion</t>
  </si>
  <si>
    <t>Process sulfur removal efficiency (%)</t>
  </si>
  <si>
    <t>Fly ash removal efficiency (%)</t>
  </si>
  <si>
    <t>Fuel heat value (MJ/kg)</t>
  </si>
  <si>
    <t>iF for primary PM (ppm)</t>
  </si>
  <si>
    <t>iF for Secondary PM (ppm)</t>
  </si>
  <si>
    <t>COMBUSTION MASS AND ENERGY CALCULATIONS</t>
  </si>
  <si>
    <t>=</t>
  </si>
  <si>
    <t>==</t>
  </si>
  <si>
    <t xml:space="preserve">Choose the following emission levels by  </t>
  </si>
  <si>
    <t>To compute the annual load factor, enter the total</t>
  </si>
  <si>
    <t>Load distrib.</t>
  </si>
  <si>
    <t>% of annual</t>
  </si>
  <si>
    <t>% of monthly</t>
  </si>
  <si>
    <t>fuel consumption assuming even combustion conditions through the year:</t>
  </si>
  <si>
    <t>Total use of fuels in various boilers in Finland, 1984</t>
  </si>
  <si>
    <t xml:space="preserve"> plant/site</t>
  </si>
  <si>
    <t>To calculate worksheet, Ctrl-Shift-Alt-F9</t>
  </si>
  <si>
    <t>marking '1' to the appropriate sites:</t>
  </si>
  <si>
    <t>any unit</t>
  </si>
  <si>
    <t>load</t>
  </si>
  <si>
    <t>maximum</t>
  </si>
  <si>
    <t>-</t>
  </si>
  <si>
    <t>XS</t>
  </si>
  <si>
    <t>S</t>
  </si>
  <si>
    <t>M</t>
  </si>
  <si>
    <t>L</t>
  </si>
  <si>
    <t>XL</t>
  </si>
  <si>
    <t xml:space="preserve">amount of fuel(s) consumed </t>
  </si>
  <si>
    <t>t/a</t>
  </si>
  <si>
    <t>fuel:</t>
  </si>
  <si>
    <t>day(*</t>
  </si>
  <si>
    <t>year</t>
  </si>
  <si>
    <t>Jan</t>
  </si>
  <si>
    <t>Feb</t>
  </si>
  <si>
    <t>Mar</t>
  </si>
  <si>
    <t>Apr</t>
  </si>
  <si>
    <t>May</t>
  </si>
  <si>
    <t>Jun</t>
  </si>
  <si>
    <t>Jul</t>
  </si>
  <si>
    <t>Aug</t>
  </si>
  <si>
    <t>Spt</t>
  </si>
  <si>
    <t>Oct</t>
  </si>
  <si>
    <t>Nov</t>
  </si>
  <si>
    <t>Dec</t>
  </si>
  <si>
    <t>Fuel</t>
  </si>
  <si>
    <t>tot use 1984</t>
  </si>
  <si>
    <t>coal</t>
  </si>
  <si>
    <t>wood</t>
  </si>
  <si>
    <t>gas</t>
  </si>
  <si>
    <t xml:space="preserve">black </t>
  </si>
  <si>
    <t>Si-</t>
  </si>
  <si>
    <t>mixed</t>
  </si>
  <si>
    <t xml:space="preserve"> enter boiler thermal power (MWt)</t>
  </si>
  <si>
    <t xml:space="preserve"> flue gas temp. (oC)</t>
  </si>
  <si>
    <t>JAN</t>
  </si>
  <si>
    <t>(kg/d)</t>
  </si>
  <si>
    <t>(t/a)</t>
  </si>
  <si>
    <t>(t/m)</t>
  </si>
  <si>
    <t>TJ/a</t>
  </si>
  <si>
    <t xml:space="preserve">  boilers</t>
  </si>
  <si>
    <t>waste</t>
  </si>
  <si>
    <t xml:space="preserve">   liquor</t>
  </si>
  <si>
    <t>fuel</t>
  </si>
  <si>
    <t>NO</t>
  </si>
  <si>
    <t>or amount of fuel energy consumed</t>
  </si>
  <si>
    <t>FEB</t>
  </si>
  <si>
    <t xml:space="preserve"> outdoor air temp. (oC)</t>
  </si>
  <si>
    <t xml:space="preserve">  combustion air temp. (oC)</t>
  </si>
  <si>
    <t>CO</t>
  </si>
  <si>
    <t>MAR</t>
  </si>
  <si>
    <t>antracite</t>
  </si>
  <si>
    <t xml:space="preserve"> Antracite</t>
  </si>
  <si>
    <t>organics</t>
  </si>
  <si>
    <t>load factor computed</t>
  </si>
  <si>
    <t>or given</t>
  </si>
  <si>
    <t xml:space="preserve"> %</t>
  </si>
  <si>
    <t>APR</t>
  </si>
  <si>
    <t>bit.coal</t>
  </si>
  <si>
    <t xml:space="preserve"> Bitum coal, avg from Polish, Russian, English and American export coals</t>
  </si>
  <si>
    <t xml:space="preserve"> flue gas O2 (%)</t>
  </si>
  <si>
    <t xml:space="preserve">   or CO2 (%)</t>
  </si>
  <si>
    <t xml:space="preserve">  or air excess</t>
  </si>
  <si>
    <t>carbon</t>
  </si>
  <si>
    <t>MAY</t>
  </si>
  <si>
    <t>lignite</t>
  </si>
  <si>
    <t xml:space="preserve"> Lignite</t>
  </si>
  <si>
    <t>fraction of heat taken from flame</t>
  </si>
  <si>
    <t>JUN</t>
  </si>
  <si>
    <t xml:space="preserve"> Peat, Finnish medium quality, VAPO</t>
  </si>
  <si>
    <t/>
  </si>
  <si>
    <t>JUL</t>
  </si>
  <si>
    <t>softwood</t>
  </si>
  <si>
    <t xml:space="preserve"> Softwood, for industrial wood waste, w H2O = 55..60%</t>
  </si>
  <si>
    <t xml:space="preserve"> fraction of power</t>
  </si>
  <si>
    <t xml:space="preserve">  mass composition, dry mmf fuel:</t>
  </si>
  <si>
    <t>dry fuel</t>
  </si>
  <si>
    <t xml:space="preserve"> wet fuel</t>
  </si>
  <si>
    <t>Hc dmmf</t>
  </si>
  <si>
    <t>H eff</t>
  </si>
  <si>
    <t>molar fractions in fuel as used (mol/kg):</t>
  </si>
  <si>
    <t>molar mass:</t>
  </si>
  <si>
    <t>AUG</t>
  </si>
  <si>
    <t>hardwood</t>
  </si>
  <si>
    <t xml:space="preserve"> Hardwood, for industrial wood waste, w H2O = 55..60%</t>
  </si>
  <si>
    <t xml:space="preserve"> </t>
  </si>
  <si>
    <t xml:space="preserve"> -------</t>
  </si>
  <si>
    <t>SPT</t>
  </si>
  <si>
    <t>straw</t>
  </si>
  <si>
    <t xml:space="preserve"> Straw</t>
  </si>
  <si>
    <t>FUEL:</t>
  </si>
  <si>
    <t>(%)</t>
  </si>
  <si>
    <t>wC</t>
  </si>
  <si>
    <t>wH</t>
  </si>
  <si>
    <t>wS</t>
  </si>
  <si>
    <t>wO</t>
  </si>
  <si>
    <t>wN</t>
  </si>
  <si>
    <t>w ash</t>
  </si>
  <si>
    <t>w H2O</t>
  </si>
  <si>
    <t>MJ/kg</t>
  </si>
  <si>
    <t>nC</t>
  </si>
  <si>
    <t>nH</t>
  </si>
  <si>
    <t>nS</t>
  </si>
  <si>
    <t>nO</t>
  </si>
  <si>
    <t>nN</t>
  </si>
  <si>
    <t>n H2O</t>
  </si>
  <si>
    <t>subst:</t>
  </si>
  <si>
    <t>g/mol</t>
  </si>
  <si>
    <t>OCT</t>
  </si>
  <si>
    <t>resd.oil</t>
  </si>
  <si>
    <t xml:space="preserve"> Resid oil, Neste POR 180</t>
  </si>
  <si>
    <t>NOV</t>
  </si>
  <si>
    <t>dist.oil</t>
  </si>
  <si>
    <t xml:space="preserve"> Distill oil, Neste POK TF</t>
  </si>
  <si>
    <t>DEC</t>
  </si>
  <si>
    <t>nat.gas</t>
  </si>
  <si>
    <t xml:space="preserve"> Natural gas, Russian export quality</t>
  </si>
  <si>
    <t>O2</t>
  </si>
  <si>
    <t>other</t>
  </si>
  <si>
    <t xml:space="preserve"> Other, such as agricultural or municipal waste, refuse, green or black liquor.</t>
  </si>
  <si>
    <t>H2</t>
  </si>
  <si>
    <t>SUM:</t>
  </si>
  <si>
    <t xml:space="preserve">   SUM:</t>
  </si>
  <si>
    <t xml:space="preserve"> SUM:</t>
  </si>
  <si>
    <t>should not</t>
  </si>
  <si>
    <t xml:space="preserve">   black liquor</t>
  </si>
  <si>
    <t>C</t>
  </si>
  <si>
    <t>exceed 100%</t>
  </si>
  <si>
    <t>sum:</t>
  </si>
  <si>
    <t xml:space="preserve">   Si-liquor</t>
  </si>
  <si>
    <t>N2</t>
  </si>
  <si>
    <t>Ar</t>
  </si>
  <si>
    <t>*) fuel used, heat produced, % of annual, etc.</t>
  </si>
  <si>
    <t>*)at the</t>
  </si>
  <si>
    <t xml:space="preserve">MW rated thermal power </t>
  </si>
  <si>
    <t>Total fuels TJ/a</t>
  </si>
  <si>
    <t>N2+Ar</t>
  </si>
  <si>
    <t>CO2</t>
  </si>
  <si>
    <t>H2O</t>
  </si>
  <si>
    <t>emissions assuming even combustion conditions through the year:</t>
  </si>
  <si>
    <t>SO2</t>
  </si>
  <si>
    <t>Percentages of fuels used in all Finland, and in different boiler types</t>
  </si>
  <si>
    <t>compound</t>
  </si>
  <si>
    <t xml:space="preserve"> sum (%)</t>
  </si>
  <si>
    <t>Heffsum:</t>
  </si>
  <si>
    <t>NO2</t>
  </si>
  <si>
    <t>control:</t>
  </si>
  <si>
    <t xml:space="preserve"> NO</t>
  </si>
  <si>
    <t>above: composition of the chosen fuel mix (g/MJ)</t>
  </si>
  <si>
    <t>should be 1.0</t>
  </si>
  <si>
    <t>above: moles of fuel mix per 1 MJ heat input</t>
  </si>
  <si>
    <t xml:space="preserve"> CO</t>
  </si>
  <si>
    <t>total DMMF (g/MJ):</t>
  </si>
  <si>
    <t xml:space="preserve"> org.</t>
  </si>
  <si>
    <t>below: air consumption and flue gas composition/MJi:</t>
  </si>
  <si>
    <t xml:space="preserve"> flue gas composition/MJ heat produced:</t>
  </si>
  <si>
    <t xml:space="preserve"> C</t>
  </si>
  <si>
    <t xml:space="preserve"> regression coefficients for the emissions of NOx, CO, organics, and soot</t>
  </si>
  <si>
    <t xml:space="preserve"> --------</t>
  </si>
  <si>
    <t xml:space="preserve"> CO2  E3*</t>
  </si>
  <si>
    <t>without free O2</t>
  </si>
  <si>
    <t>stoichiometric</t>
  </si>
  <si>
    <t>true combustion products</t>
  </si>
  <si>
    <t>mass basis</t>
  </si>
  <si>
    <t xml:space="preserve"> H2O  E3*</t>
  </si>
  <si>
    <t xml:space="preserve"> coefficient 'a' for y = a + bx model</t>
  </si>
  <si>
    <t>coefficient 'b' for y = a + bx model</t>
  </si>
  <si>
    <t>Comp.</t>
  </si>
  <si>
    <t>unit</t>
  </si>
  <si>
    <t>mol X:</t>
  </si>
  <si>
    <t>mol O:</t>
  </si>
  <si>
    <t>vol %:</t>
  </si>
  <si>
    <t>vol%:</t>
  </si>
  <si>
    <t>molar basis</t>
  </si>
  <si>
    <t>volumetric</t>
  </si>
  <si>
    <t>/heat produced</t>
  </si>
  <si>
    <t xml:space="preserve"> /fuel heat</t>
  </si>
  <si>
    <t>comp.</t>
  </si>
  <si>
    <t xml:space="preserve"> SO2</t>
  </si>
  <si>
    <t>N2+Ar E3*</t>
  </si>
  <si>
    <t>NOx:</t>
  </si>
  <si>
    <t>mmol/MJi</t>
  </si>
  <si>
    <t>mmol/MJt</t>
  </si>
  <si>
    <t>ppm</t>
  </si>
  <si>
    <t>mg/MJt</t>
  </si>
  <si>
    <t>mg/MJi</t>
  </si>
  <si>
    <t>estimate</t>
  </si>
  <si>
    <t xml:space="preserve"> ash </t>
  </si>
  <si>
    <t xml:space="preserve"> O2   E3*</t>
  </si>
  <si>
    <t xml:space="preserve"> antracite</t>
  </si>
  <si>
    <t>org.</t>
  </si>
  <si>
    <t xml:space="preserve"> bit coal</t>
  </si>
  <si>
    <t>total E3*</t>
  </si>
  <si>
    <t xml:space="preserve"> lignite</t>
  </si>
  <si>
    <t>mol/MJi</t>
  </si>
  <si>
    <t>mol/MJt</t>
  </si>
  <si>
    <t>g/MJt</t>
  </si>
  <si>
    <t>g/MJi</t>
  </si>
  <si>
    <t>true</t>
  </si>
  <si>
    <t xml:space="preserve"> peat</t>
  </si>
  <si>
    <t>tot.@ STP</t>
  </si>
  <si>
    <t xml:space="preserve"> softwood</t>
  </si>
  <si>
    <t>(m3*E3)</t>
  </si>
  <si>
    <t>(m3*E6)</t>
  </si>
  <si>
    <t xml:space="preserve">(m3*E6) . . . </t>
  </si>
  <si>
    <t xml:space="preserve"> hardwood</t>
  </si>
  <si>
    <t>total(*</t>
  </si>
  <si>
    <t>m3/sec @ STP</t>
  </si>
  <si>
    <t>m3/sec @ flue gas temp.</t>
  </si>
  <si>
    <t>oC</t>
  </si>
  <si>
    <t xml:space="preserve"> straw</t>
  </si>
  <si>
    <t>ash</t>
  </si>
  <si>
    <t xml:space="preserve"> resid oil</t>
  </si>
  <si>
    <t>ASTEPÄIVÄLUVUT ( o C vrk)</t>
  </si>
  <si>
    <t xml:space="preserve"> distill oil</t>
  </si>
  <si>
    <t xml:space="preserve"> natural gas</t>
  </si>
  <si>
    <t>total O2-use (mol/MJi):</t>
  </si>
  <si>
    <t>MONTHS</t>
  </si>
  <si>
    <t>HELSINKI</t>
  </si>
  <si>
    <t>KUOPIO</t>
  </si>
  <si>
    <t>OULU</t>
  </si>
  <si>
    <t xml:space="preserve"> other</t>
  </si>
  <si>
    <t>O2 from fuel (mol/MJi):</t>
  </si>
  <si>
    <t>m3/MJt @STP</t>
  </si>
  <si>
    <t>kg/m3 @STP</t>
  </si>
  <si>
    <t>m3/MJi @STP</t>
  </si>
  <si>
    <t>A</t>
  </si>
  <si>
    <t>B</t>
  </si>
  <si>
    <t>net O2 from air (mol/MJi):</t>
  </si>
  <si>
    <t>m3/MJt @ flue gas T</t>
  </si>
  <si>
    <t>kg/m3 @ flue gas T</t>
  </si>
  <si>
    <t>CO:</t>
  </si>
  <si>
    <t>O2-free flue (mol/MJi):</t>
  </si>
  <si>
    <t>m3/MJt @ combust. T</t>
  </si>
  <si>
    <t>kg/m3 @ combust. T</t>
  </si>
  <si>
    <t>Air excess calculations:</t>
  </si>
  <si>
    <t>air excess from O2</t>
  </si>
  <si>
    <t>air excess from CO2</t>
  </si>
  <si>
    <t>air excess given</t>
  </si>
  <si>
    <t>SEP</t>
  </si>
  <si>
    <t>air excess used</t>
  </si>
  <si>
    <t>0th+1st</t>
  </si>
  <si>
    <t>2nd+3rd terms for Q70</t>
  </si>
  <si>
    <t>Enthalpy flow calculations:</t>
  </si>
  <si>
    <t>SUM</t>
  </si>
  <si>
    <t>flow</t>
  </si>
  <si>
    <t xml:space="preserve"> (oC)</t>
  </si>
  <si>
    <t>kJ/MJi</t>
  </si>
  <si>
    <t>homogenous combustion temp.</t>
  </si>
  <si>
    <t>organics:</t>
  </si>
  <si>
    <t>A: Asunto, vain huonetilan lämmitys. Toimisto tms. tila, koko lämmitys.</t>
  </si>
  <si>
    <t>fuel input, Heff</t>
  </si>
  <si>
    <t>3rd degree solution:</t>
  </si>
  <si>
    <t>B: Asunto, huonetilojen lämmitys + kuuma vesi.</t>
  </si>
  <si>
    <t>outdoor air</t>
  </si>
  <si>
    <t>combustion air</t>
  </si>
  <si>
    <t>\q</t>
  </si>
  <si>
    <t>{ALT}fo{ALT "n"}a:\comb.wk1{TAB 4}</t>
  </si>
  <si>
    <t>fuel water</t>
  </si>
  <si>
    <t>~</t>
  </si>
  <si>
    <t>excess air</t>
  </si>
  <si>
    <t>{ALT}tms{ALT}tmd{TAB 2}</t>
  </si>
  <si>
    <t>incompl.comb.</t>
  </si>
  <si>
    <t>{ALT}tms{PGDN 2}{GOTO}</t>
  </si>
  <si>
    <t>flue gas loss</t>
  </si>
  <si>
    <t>A:AF68~</t>
  </si>
  <si>
    <t>flue gas loss incl H2O condensation</t>
  </si>
  <si>
    <t>{ALT}tms{GOTO}A:AF69~</t>
  </si>
  <si>
    <t>{GOTO}A:AF70~</t>
  </si>
  <si>
    <t>combustion efficiency (%):</t>
  </si>
  <si>
    <t xml:space="preserve">   0th:</t>
  </si>
  <si>
    <t xml:space="preserve">    p:</t>
  </si>
  <si>
    <t>{GOTO}A:AF71~</t>
  </si>
  <si>
    <t>maximum boiler efficiency (%):</t>
  </si>
  <si>
    <t xml:space="preserve">   1st:</t>
  </si>
  <si>
    <t xml:space="preserve">    q:</t>
  </si>
  <si>
    <t>{GOTO}A:AF72~</t>
  </si>
  <si>
    <t>homogenus comb. temp. (oC):</t>
  </si>
  <si>
    <t xml:space="preserve">   2nd:</t>
  </si>
  <si>
    <t xml:space="preserve">    I:</t>
  </si>
  <si>
    <t>{GOTO}A:AF73~</t>
  </si>
  <si>
    <t>soot (C):</t>
  </si>
  <si>
    <t xml:space="preserve">   3rd:</t>
  </si>
  <si>
    <t xml:space="preserve">   T0:</t>
  </si>
  <si>
    <t>{GOTO}A:AF74~</t>
  </si>
  <si>
    <t>{GOTO}A:AF75~</t>
  </si>
  <si>
    <t>{GOTO}A:AF76~</t>
  </si>
  <si>
    <t>{ALT}ts{ESC}</t>
  </si>
  <si>
    <t>mg/MJi:</t>
  </si>
  <si>
    <t xml:space="preserve"> NO-emission mmol/MJi:</t>
  </si>
  <si>
    <t>CO-emission mmol/MJi:</t>
  </si>
  <si>
    <t>Organic emission mg/MJi:</t>
  </si>
  <si>
    <t xml:space="preserve">  Carbon emission mmol/MJi:</t>
  </si>
  <si>
    <t>t/Mtoe</t>
  </si>
  <si>
    <t>OC&amp;EC</t>
  </si>
  <si>
    <t>Unit</t>
  </si>
  <si>
    <t>Emission</t>
  </si>
  <si>
    <t xml:space="preserve">EC+OC </t>
  </si>
  <si>
    <t>EC+OC emission factor (t/Mtoe)</t>
  </si>
  <si>
    <t>Fuel ash PM emission, kt/a</t>
  </si>
  <si>
    <t>iF for Primary PM (ppm)</t>
  </si>
  <si>
    <t>Population fuel ash PM intake, kg/a</t>
  </si>
  <si>
    <t>Population secondary PM intake, kg/a</t>
  </si>
  <si>
    <t>Population (EC+OC)PM intake, kgt/a</t>
  </si>
  <si>
    <r>
      <t>Secondary PM emission, kt((NH</t>
    </r>
    <r>
      <rPr>
        <b/>
        <vertAlign val="subscript"/>
        <sz val="12"/>
        <rFont val="Arial"/>
        <family val="2"/>
      </rPr>
      <t>3</t>
    </r>
    <r>
      <rPr>
        <b/>
        <sz val="12"/>
        <rFont val="Arial"/>
        <family val="2"/>
      </rPr>
      <t>)</t>
    </r>
    <r>
      <rPr>
        <b/>
        <vertAlign val="subscript"/>
        <sz val="12"/>
        <rFont val="Arial"/>
        <family val="2"/>
      </rPr>
      <t>2</t>
    </r>
    <r>
      <rPr>
        <b/>
        <sz val="12"/>
        <rFont val="Arial"/>
        <family val="2"/>
      </rPr>
      <t>SO</t>
    </r>
    <r>
      <rPr>
        <b/>
        <vertAlign val="subscript"/>
        <sz val="12"/>
        <rFont val="Arial"/>
        <family val="2"/>
      </rPr>
      <t>4</t>
    </r>
    <r>
      <rPr>
        <b/>
        <sz val="12"/>
        <rFont val="Arial"/>
        <family val="2"/>
      </rPr>
      <t>)/a</t>
    </r>
  </si>
  <si>
    <t>(EC+OC)PM emission, kt/a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</si>
</sst>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0_)"/>
    <numFmt numFmtId="173" formatCode="0.0"/>
    <numFmt numFmtId="174" formatCode="0.0000"/>
    <numFmt numFmtId="175" formatCode="0.000"/>
    <numFmt numFmtId="176" formatCode="0_)"/>
    <numFmt numFmtId="177" formatCode="0.0000_)"/>
    <numFmt numFmtId="178" formatCode=";;;"/>
    <numFmt numFmtId="179" formatCode="0.0_)"/>
    <numFmt numFmtId="180" formatCode="0.000_)"/>
  </numFmts>
  <fonts count="33">
    <font>
      <sz val="10"/>
      <name val="Arial"/>
      <family val="0"/>
    </font>
    <font>
      <b/>
      <sz val="10"/>
      <name val="Arial"/>
      <family val="2"/>
    </font>
    <font>
      <i/>
      <sz val="10"/>
      <name val="Arial"/>
      <family val="2"/>
    </font>
    <font>
      <sz val="8"/>
      <name val="Arial"/>
      <family val="0"/>
    </font>
    <font>
      <b/>
      <sz val="14"/>
      <name val="Arial"/>
      <family val="2"/>
    </font>
    <font>
      <b/>
      <sz val="12"/>
      <name val="Arial"/>
      <family val="2"/>
    </font>
    <font>
      <b/>
      <sz val="11"/>
      <name val="Arial"/>
      <family val="2"/>
    </font>
    <font>
      <sz val="11"/>
      <name val="Arial"/>
      <family val="2"/>
    </font>
    <font>
      <b/>
      <sz val="10"/>
      <name val="Arial Narrow"/>
      <family val="2"/>
    </font>
    <font>
      <b/>
      <sz val="11"/>
      <color indexed="9"/>
      <name val="Arial"/>
      <family val="2"/>
    </font>
    <font>
      <sz val="11"/>
      <color indexed="9"/>
      <name val="Arial"/>
      <family val="2"/>
    </font>
    <font>
      <vertAlign val="subscript"/>
      <sz val="10"/>
      <name val="Arial"/>
      <family val="2"/>
    </font>
    <font>
      <b/>
      <vertAlign val="subscript"/>
      <sz val="11"/>
      <color indexed="9"/>
      <name val="Arial"/>
      <family val="2"/>
    </font>
    <font>
      <b/>
      <vertAlign val="subscript"/>
      <sz val="11"/>
      <name val="Arial"/>
      <family val="2"/>
    </font>
    <font>
      <b/>
      <vertAlign val="subscript"/>
      <sz val="12"/>
      <name val="Arial"/>
      <family val="2"/>
    </font>
    <font>
      <b/>
      <i/>
      <sz val="10"/>
      <name val="Arial"/>
      <family val="2"/>
    </font>
    <font>
      <b/>
      <sz val="12"/>
      <color indexed="9"/>
      <name val="Arial"/>
      <family val="2"/>
    </font>
    <font>
      <b/>
      <vertAlign val="subscript"/>
      <sz val="12"/>
      <color indexed="9"/>
      <name val="Arial"/>
      <family val="2"/>
    </font>
    <font>
      <sz val="10"/>
      <color indexed="9"/>
      <name val="Arial"/>
      <family val="2"/>
    </font>
    <font>
      <sz val="12"/>
      <name val="Arial"/>
      <family val="2"/>
    </font>
    <font>
      <b/>
      <sz val="11"/>
      <color indexed="55"/>
      <name val="Arial"/>
      <family val="2"/>
    </font>
    <font>
      <sz val="11"/>
      <name val="Arial Narrow"/>
      <family val="2"/>
    </font>
    <font>
      <sz val="10"/>
      <color indexed="10"/>
      <name val="Arial"/>
      <family val="0"/>
    </font>
    <font>
      <sz val="10"/>
      <name val="Arial Narrow"/>
      <family val="2"/>
    </font>
    <font>
      <vertAlign val="subscript"/>
      <sz val="10"/>
      <name val="Arial Narrow"/>
      <family val="2"/>
    </font>
    <font>
      <b/>
      <sz val="12"/>
      <color indexed="10"/>
      <name val="Arial"/>
      <family val="2"/>
    </font>
    <font>
      <u val="single"/>
      <sz val="10"/>
      <color indexed="12"/>
      <name val="Arial"/>
      <family val="0"/>
    </font>
    <font>
      <u val="single"/>
      <sz val="10"/>
      <color indexed="36"/>
      <name val="Arial"/>
      <family val="0"/>
    </font>
    <font>
      <sz val="10"/>
      <color indexed="12"/>
      <name val="Arial MT"/>
      <family val="0"/>
    </font>
    <font>
      <sz val="10"/>
      <color indexed="55"/>
      <name val="Arial"/>
      <family val="0"/>
    </font>
    <font>
      <sz val="10"/>
      <color indexed="55"/>
      <name val="Arial MT"/>
      <family val="0"/>
    </font>
    <font>
      <sz val="10"/>
      <color indexed="23"/>
      <name val="Arial"/>
      <family val="0"/>
    </font>
    <font>
      <sz val="10"/>
      <color indexed="23"/>
      <name val="Arial MT"/>
      <family val="0"/>
    </font>
  </fonts>
  <fills count="14">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9"/>
        <bgColor indexed="64"/>
      </patternFill>
    </fill>
    <fill>
      <patternFill patternType="solid">
        <fgColor indexed="41"/>
        <bgColor indexed="64"/>
      </patternFill>
    </fill>
    <fill>
      <patternFill patternType="solid">
        <fgColor indexed="60"/>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s>
  <borders count="38">
    <border>
      <left/>
      <right/>
      <top/>
      <bottom/>
      <diagonal/>
    </border>
    <border>
      <left>
        <color indexed="63"/>
      </left>
      <right style="thin"/>
      <top>
        <color indexed="63"/>
      </top>
      <bottom>
        <color indexed="63"/>
      </bottom>
    </border>
    <border>
      <left style="medium"/>
      <right style="thin"/>
      <top>
        <color indexed="63"/>
      </top>
      <bottom style="medium"/>
    </border>
    <border>
      <left>
        <color indexed="63"/>
      </left>
      <right style="thin"/>
      <top>
        <color indexed="63"/>
      </top>
      <bottom style="thin"/>
    </border>
    <border>
      <left>
        <color indexed="63"/>
      </left>
      <right style="thin"/>
      <top>
        <color indexed="63"/>
      </top>
      <bottom style="medium"/>
    </border>
    <border>
      <left style="medium"/>
      <right style="thin"/>
      <top>
        <color indexed="63"/>
      </top>
      <bottom>
        <color indexed="63"/>
      </bottom>
    </border>
    <border>
      <left style="medium"/>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thin"/>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left style="thin"/>
      <right style="thin"/>
      <top style="thin"/>
      <bottom>
        <color indexed="63"/>
      </bottom>
    </border>
    <border>
      <left style="thin"/>
      <right style="thin"/>
      <top style="medium"/>
      <bottom style="mediu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0" fillId="0" borderId="1" xfId="0" applyBorder="1" applyAlignment="1">
      <alignment/>
    </xf>
    <xf numFmtId="0" fontId="1" fillId="2" borderId="2" xfId="0" applyFont="1" applyFill="1" applyBorder="1" applyAlignment="1">
      <alignment/>
    </xf>
    <xf numFmtId="2" fontId="0" fillId="2" borderId="1" xfId="0" applyNumberFormat="1" applyFill="1" applyBorder="1" applyAlignment="1">
      <alignment/>
    </xf>
    <xf numFmtId="2" fontId="0" fillId="0" borderId="0" xfId="0" applyNumberFormat="1" applyAlignment="1">
      <alignment/>
    </xf>
    <xf numFmtId="2" fontId="1" fillId="2" borderId="1" xfId="0" applyNumberFormat="1" applyFont="1" applyFill="1" applyBorder="1" applyAlignment="1">
      <alignment/>
    </xf>
    <xf numFmtId="2" fontId="0" fillId="2" borderId="3" xfId="0" applyNumberFormat="1" applyFill="1" applyBorder="1" applyAlignment="1">
      <alignment/>
    </xf>
    <xf numFmtId="2" fontId="2" fillId="2" borderId="1" xfId="0" applyNumberFormat="1" applyFont="1" applyFill="1" applyBorder="1" applyAlignment="1">
      <alignment/>
    </xf>
    <xf numFmtId="2" fontId="0" fillId="2" borderId="4" xfId="0" applyNumberFormat="1" applyFill="1" applyBorder="1" applyAlignment="1">
      <alignment/>
    </xf>
    <xf numFmtId="2" fontId="1" fillId="2" borderId="5" xfId="0" applyNumberFormat="1" applyFont="1" applyFill="1" applyBorder="1" applyAlignment="1">
      <alignment/>
    </xf>
    <xf numFmtId="2" fontId="0" fillId="2" borderId="5" xfId="0" applyNumberFormat="1" applyFill="1" applyBorder="1" applyAlignment="1">
      <alignment/>
    </xf>
    <xf numFmtId="2" fontId="0" fillId="2" borderId="2" xfId="0" applyNumberFormat="1" applyFill="1" applyBorder="1" applyAlignment="1">
      <alignment/>
    </xf>
    <xf numFmtId="2" fontId="6" fillId="2" borderId="6" xfId="0" applyNumberFormat="1" applyFont="1" applyFill="1" applyBorder="1" applyAlignment="1">
      <alignment/>
    </xf>
    <xf numFmtId="2" fontId="6" fillId="2" borderId="7" xfId="0" applyNumberFormat="1" applyFont="1" applyFill="1" applyBorder="1" applyAlignment="1">
      <alignment/>
    </xf>
    <xf numFmtId="0" fontId="7" fillId="0" borderId="0" xfId="0" applyFont="1" applyAlignment="1">
      <alignment/>
    </xf>
    <xf numFmtId="2" fontId="1" fillId="0" borderId="0" xfId="0" applyNumberFormat="1" applyFont="1" applyAlignment="1">
      <alignment/>
    </xf>
    <xf numFmtId="2" fontId="1" fillId="0" borderId="0" xfId="0" applyNumberFormat="1" applyFont="1" applyFill="1" applyBorder="1" applyAlignment="1">
      <alignment/>
    </xf>
    <xf numFmtId="0" fontId="2" fillId="0" borderId="0" xfId="0" applyFont="1" applyAlignment="1">
      <alignment/>
    </xf>
    <xf numFmtId="0" fontId="1" fillId="2" borderId="8" xfId="0" applyFont="1" applyFill="1" applyBorder="1" applyAlignment="1">
      <alignment horizontal="center"/>
    </xf>
    <xf numFmtId="0" fontId="1" fillId="2" borderId="9"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2" fontId="1" fillId="0" borderId="0" xfId="0" applyNumberFormat="1" applyFont="1" applyBorder="1" applyAlignment="1">
      <alignment/>
    </xf>
    <xf numFmtId="2" fontId="0" fillId="0" borderId="0" xfId="0" applyNumberFormat="1" applyAlignment="1">
      <alignment horizontal="center"/>
    </xf>
    <xf numFmtId="0" fontId="7" fillId="0" borderId="0" xfId="0" applyFont="1" applyFill="1" applyAlignment="1">
      <alignment/>
    </xf>
    <xf numFmtId="0" fontId="1" fillId="2" borderId="10" xfId="0" applyFont="1" applyFill="1" applyBorder="1" applyAlignment="1">
      <alignment/>
    </xf>
    <xf numFmtId="0" fontId="1" fillId="2" borderId="11" xfId="0" applyFont="1" applyFill="1" applyBorder="1" applyAlignment="1">
      <alignment/>
    </xf>
    <xf numFmtId="2" fontId="9" fillId="3" borderId="0" xfId="0" applyNumberFormat="1" applyFont="1" applyFill="1" applyAlignment="1">
      <alignment horizontal="left"/>
    </xf>
    <xf numFmtId="2" fontId="9" fillId="4" borderId="0" xfId="0" applyNumberFormat="1" applyFont="1" applyFill="1" applyAlignment="1" applyProtection="1">
      <alignment horizontal="left"/>
      <protection/>
    </xf>
    <xf numFmtId="2" fontId="6" fillId="0" borderId="9" xfId="0" applyNumberFormat="1" applyFont="1" applyBorder="1" applyAlignment="1">
      <alignment horizontal="left"/>
    </xf>
    <xf numFmtId="2" fontId="0" fillId="5" borderId="0" xfId="0" applyNumberFormat="1" applyFill="1" applyAlignment="1" applyProtection="1">
      <alignment/>
      <protection locked="0"/>
    </xf>
    <xf numFmtId="0" fontId="0" fillId="5" borderId="0" xfId="0" applyFill="1" applyAlignment="1" applyProtection="1">
      <alignment/>
      <protection locked="0"/>
    </xf>
    <xf numFmtId="0" fontId="0" fillId="0" borderId="0" xfId="0" applyFill="1" applyAlignment="1">
      <alignment/>
    </xf>
    <xf numFmtId="0" fontId="0" fillId="6" borderId="0" xfId="0" applyFill="1" applyAlignment="1">
      <alignment/>
    </xf>
    <xf numFmtId="0" fontId="1" fillId="6" borderId="12" xfId="0" applyFont="1" applyFill="1" applyBorder="1" applyAlignment="1">
      <alignment horizontal="center"/>
    </xf>
    <xf numFmtId="0" fontId="1" fillId="6" borderId="4" xfId="0" applyFont="1" applyFill="1" applyBorder="1" applyAlignment="1">
      <alignment horizontal="center"/>
    </xf>
    <xf numFmtId="2" fontId="0" fillId="6" borderId="1" xfId="0" applyNumberFormat="1" applyFill="1" applyBorder="1" applyAlignment="1" applyProtection="1">
      <alignment/>
      <protection locked="0"/>
    </xf>
    <xf numFmtId="2" fontId="6" fillId="6" borderId="13" xfId="0" applyNumberFormat="1" applyFont="1" applyFill="1" applyBorder="1" applyAlignment="1">
      <alignment/>
    </xf>
    <xf numFmtId="0" fontId="7" fillId="6" borderId="0" xfId="0" applyFont="1" applyFill="1" applyAlignment="1">
      <alignment/>
    </xf>
    <xf numFmtId="2" fontId="0" fillId="6" borderId="1" xfId="0" applyNumberFormat="1" applyFill="1" applyBorder="1" applyAlignment="1">
      <alignment/>
    </xf>
    <xf numFmtId="2" fontId="1" fillId="6" borderId="1" xfId="0" applyNumberFormat="1" applyFont="1" applyFill="1" applyBorder="1" applyAlignment="1">
      <alignment/>
    </xf>
    <xf numFmtId="2" fontId="0" fillId="6" borderId="3" xfId="0" applyNumberFormat="1" applyFill="1" applyBorder="1" applyAlignment="1" applyProtection="1">
      <alignment/>
      <protection locked="0"/>
    </xf>
    <xf numFmtId="2" fontId="2" fillId="6" borderId="1" xfId="0" applyNumberFormat="1" applyFont="1" applyFill="1" applyBorder="1" applyAlignment="1" applyProtection="1">
      <alignment/>
      <protection locked="0"/>
    </xf>
    <xf numFmtId="2" fontId="0" fillId="6" borderId="4" xfId="0" applyNumberFormat="1" applyFill="1" applyBorder="1" applyAlignment="1" applyProtection="1">
      <alignment/>
      <protection locked="0"/>
    </xf>
    <xf numFmtId="2" fontId="1" fillId="6" borderId="14" xfId="0" applyNumberFormat="1" applyFont="1" applyFill="1" applyBorder="1" applyAlignment="1">
      <alignment/>
    </xf>
    <xf numFmtId="2" fontId="0" fillId="6" borderId="14" xfId="0" applyNumberFormat="1" applyFill="1" applyBorder="1" applyAlignment="1">
      <alignment/>
    </xf>
    <xf numFmtId="0" fontId="0" fillId="6" borderId="14" xfId="0" applyFill="1" applyBorder="1" applyAlignment="1">
      <alignment/>
    </xf>
    <xf numFmtId="2" fontId="0" fillId="6" borderId="15" xfId="0" applyNumberFormat="1" applyFill="1" applyBorder="1" applyAlignment="1">
      <alignment/>
    </xf>
    <xf numFmtId="0" fontId="5" fillId="6" borderId="16" xfId="0" applyFont="1" applyFill="1" applyBorder="1" applyAlignment="1">
      <alignment/>
    </xf>
    <xf numFmtId="2" fontId="5" fillId="6" borderId="17" xfId="0" applyNumberFormat="1" applyFont="1" applyFill="1" applyBorder="1" applyAlignment="1">
      <alignment/>
    </xf>
    <xf numFmtId="0" fontId="2" fillId="6" borderId="0" xfId="0" applyFont="1" applyFill="1" applyAlignment="1">
      <alignment/>
    </xf>
    <xf numFmtId="0" fontId="7" fillId="2" borderId="7" xfId="0" applyFont="1" applyFill="1" applyBorder="1" applyAlignment="1">
      <alignment/>
    </xf>
    <xf numFmtId="0" fontId="7" fillId="2" borderId="16" xfId="0" applyFont="1" applyFill="1" applyBorder="1" applyAlignment="1">
      <alignment/>
    </xf>
    <xf numFmtId="0" fontId="0" fillId="2" borderId="7" xfId="0" applyFill="1" applyBorder="1" applyAlignment="1">
      <alignment/>
    </xf>
    <xf numFmtId="0" fontId="0" fillId="2" borderId="16" xfId="0" applyFill="1" applyBorder="1" applyAlignment="1">
      <alignment/>
    </xf>
    <xf numFmtId="2" fontId="0" fillId="7" borderId="0" xfId="0" applyNumberFormat="1" applyFill="1" applyAlignment="1">
      <alignment/>
    </xf>
    <xf numFmtId="0" fontId="1" fillId="8" borderId="18" xfId="0" applyFont="1" applyFill="1" applyBorder="1" applyAlignment="1">
      <alignment/>
    </xf>
    <xf numFmtId="0" fontId="1" fillId="8" borderId="8" xfId="0" applyFont="1" applyFill="1" applyBorder="1" applyAlignment="1">
      <alignment horizontal="center"/>
    </xf>
    <xf numFmtId="0" fontId="8" fillId="8" borderId="8" xfId="0" applyFont="1" applyFill="1" applyBorder="1" applyAlignment="1">
      <alignment horizontal="center"/>
    </xf>
    <xf numFmtId="0" fontId="1" fillId="8" borderId="17" xfId="0" applyFont="1" applyFill="1" applyBorder="1" applyAlignment="1">
      <alignment horizontal="center"/>
    </xf>
    <xf numFmtId="0" fontId="1" fillId="8" borderId="2" xfId="0" applyFont="1" applyFill="1" applyBorder="1" applyAlignment="1">
      <alignment/>
    </xf>
    <xf numFmtId="0" fontId="1" fillId="8" borderId="9" xfId="0" applyFont="1" applyFill="1" applyBorder="1" applyAlignment="1">
      <alignment horizontal="center"/>
    </xf>
    <xf numFmtId="0" fontId="8" fillId="8" borderId="9" xfId="0" applyFont="1" applyFill="1" applyBorder="1" applyAlignment="1">
      <alignment horizontal="center"/>
    </xf>
    <xf numFmtId="0" fontId="1" fillId="8" borderId="15" xfId="0" applyFont="1" applyFill="1" applyBorder="1" applyAlignment="1">
      <alignment horizontal="center"/>
    </xf>
    <xf numFmtId="2" fontId="0" fillId="8" borderId="1" xfId="0" applyNumberFormat="1" applyFill="1" applyBorder="1" applyAlignment="1">
      <alignment/>
    </xf>
    <xf numFmtId="2" fontId="0" fillId="8" borderId="0" xfId="0" applyNumberFormat="1" applyFill="1" applyAlignment="1">
      <alignment/>
    </xf>
    <xf numFmtId="2" fontId="6" fillId="8" borderId="6" xfId="0" applyNumberFormat="1" applyFont="1" applyFill="1" applyBorder="1" applyAlignment="1">
      <alignment/>
    </xf>
    <xf numFmtId="2" fontId="6" fillId="8" borderId="7" xfId="0" applyNumberFormat="1" applyFont="1" applyFill="1" applyBorder="1" applyAlignment="1">
      <alignment/>
    </xf>
    <xf numFmtId="2" fontId="6" fillId="8" borderId="16" xfId="0" applyNumberFormat="1" applyFont="1" applyFill="1" applyBorder="1" applyAlignment="1">
      <alignment/>
    </xf>
    <xf numFmtId="0" fontId="0" fillId="8" borderId="0" xfId="0" applyFill="1" applyAlignment="1">
      <alignment/>
    </xf>
    <xf numFmtId="2" fontId="0" fillId="8" borderId="0" xfId="0" applyNumberFormat="1" applyFill="1" applyBorder="1" applyAlignment="1">
      <alignment/>
    </xf>
    <xf numFmtId="2" fontId="1" fillId="8" borderId="1" xfId="0" applyNumberFormat="1" applyFont="1" applyFill="1" applyBorder="1" applyAlignment="1">
      <alignment/>
    </xf>
    <xf numFmtId="2" fontId="1" fillId="8" borderId="0" xfId="0" applyNumberFormat="1" applyFont="1" applyFill="1" applyAlignment="1">
      <alignment/>
    </xf>
    <xf numFmtId="2" fontId="0" fillId="8" borderId="3" xfId="0" applyNumberFormat="1" applyFill="1" applyBorder="1" applyAlignment="1">
      <alignment/>
    </xf>
    <xf numFmtId="2" fontId="0" fillId="8" borderId="19" xfId="0" applyNumberFormat="1" applyFill="1" applyBorder="1" applyAlignment="1">
      <alignment/>
    </xf>
    <xf numFmtId="2" fontId="1" fillId="8" borderId="0" xfId="0" applyNumberFormat="1" applyFont="1" applyFill="1" applyBorder="1" applyAlignment="1">
      <alignment/>
    </xf>
    <xf numFmtId="2" fontId="0" fillId="8" borderId="0" xfId="0" applyNumberFormat="1" applyFont="1" applyFill="1" applyAlignment="1">
      <alignment/>
    </xf>
    <xf numFmtId="2" fontId="2" fillId="8" borderId="1" xfId="0" applyNumberFormat="1" applyFont="1" applyFill="1" applyBorder="1" applyAlignment="1">
      <alignment/>
    </xf>
    <xf numFmtId="2" fontId="2" fillId="8" borderId="0" xfId="0" applyNumberFormat="1" applyFont="1" applyFill="1" applyAlignment="1">
      <alignment/>
    </xf>
    <xf numFmtId="2" fontId="0" fillId="8" borderId="4" xfId="0" applyNumberFormat="1" applyFill="1" applyBorder="1" applyAlignment="1">
      <alignment/>
    </xf>
    <xf numFmtId="2" fontId="1" fillId="8" borderId="5" xfId="0" applyNumberFormat="1" applyFont="1" applyFill="1" applyBorder="1" applyAlignment="1">
      <alignment/>
    </xf>
    <xf numFmtId="2" fontId="1" fillId="8" borderId="14" xfId="0" applyNumberFormat="1" applyFont="1" applyFill="1" applyBorder="1" applyAlignment="1">
      <alignment/>
    </xf>
    <xf numFmtId="2" fontId="0" fillId="8" borderId="5" xfId="0" applyNumberFormat="1" applyFill="1" applyBorder="1" applyAlignment="1">
      <alignment/>
    </xf>
    <xf numFmtId="0" fontId="0" fillId="8" borderId="0" xfId="0" applyFill="1" applyBorder="1" applyAlignment="1">
      <alignment/>
    </xf>
    <xf numFmtId="2" fontId="0" fillId="8" borderId="2" xfId="0" applyNumberFormat="1" applyFill="1" applyBorder="1" applyAlignment="1">
      <alignment/>
    </xf>
    <xf numFmtId="2" fontId="0" fillId="8" borderId="9" xfId="0" applyNumberFormat="1" applyFill="1" applyBorder="1" applyAlignment="1">
      <alignment/>
    </xf>
    <xf numFmtId="0" fontId="0" fillId="8" borderId="9" xfId="0" applyFill="1" applyBorder="1" applyAlignment="1">
      <alignment/>
    </xf>
    <xf numFmtId="2" fontId="0" fillId="2" borderId="0" xfId="0" applyNumberFormat="1" applyFill="1" applyAlignment="1">
      <alignment/>
    </xf>
    <xf numFmtId="0" fontId="0" fillId="2" borderId="0" xfId="0" applyFill="1" applyAlignment="1">
      <alignment/>
    </xf>
    <xf numFmtId="2" fontId="0" fillId="5" borderId="0" xfId="0" applyNumberFormat="1" applyFill="1" applyAlignment="1">
      <alignment/>
    </xf>
    <xf numFmtId="0" fontId="0" fillId="0" borderId="0" xfId="0" applyAlignment="1">
      <alignment horizontal="left" wrapText="1"/>
    </xf>
    <xf numFmtId="0" fontId="0" fillId="0" borderId="1" xfId="0" applyBorder="1" applyAlignment="1">
      <alignment horizontal="left" wrapText="1"/>
    </xf>
    <xf numFmtId="2" fontId="0" fillId="0" borderId="0" xfId="0" applyNumberFormat="1" applyFill="1" applyBorder="1" applyAlignment="1">
      <alignment/>
    </xf>
    <xf numFmtId="0" fontId="0" fillId="0" borderId="0" xfId="0" applyFill="1" applyBorder="1" applyAlignment="1">
      <alignment/>
    </xf>
    <xf numFmtId="2" fontId="0" fillId="9" borderId="0" xfId="0" applyNumberFormat="1" applyFill="1" applyAlignment="1">
      <alignment/>
    </xf>
    <xf numFmtId="0" fontId="1" fillId="0" borderId="0" xfId="0" applyFont="1" applyAlignment="1">
      <alignment/>
    </xf>
    <xf numFmtId="2" fontId="1" fillId="8" borderId="3" xfId="0" applyNumberFormat="1" applyFont="1" applyFill="1" applyBorder="1" applyAlignment="1">
      <alignment/>
    </xf>
    <xf numFmtId="2" fontId="15" fillId="8" borderId="1" xfId="0" applyNumberFormat="1" applyFont="1" applyFill="1" applyBorder="1" applyAlignment="1">
      <alignment/>
    </xf>
    <xf numFmtId="0" fontId="1" fillId="8" borderId="14" xfId="0" applyFont="1" applyFill="1" applyBorder="1" applyAlignment="1">
      <alignment/>
    </xf>
    <xf numFmtId="2" fontId="1" fillId="8" borderId="15" xfId="0" applyNumberFormat="1" applyFont="1" applyFill="1" applyBorder="1" applyAlignment="1">
      <alignment/>
    </xf>
    <xf numFmtId="0" fontId="8" fillId="2" borderId="0" xfId="0" applyFont="1" applyFill="1" applyBorder="1" applyAlignment="1">
      <alignment horizontal="center"/>
    </xf>
    <xf numFmtId="0" fontId="1" fillId="2" borderId="5" xfId="0" applyFont="1" applyFill="1" applyBorder="1" applyAlignment="1">
      <alignment/>
    </xf>
    <xf numFmtId="0" fontId="1" fillId="2" borderId="0" xfId="0" applyFont="1" applyFill="1" applyBorder="1" applyAlignment="1">
      <alignment horizontal="center"/>
    </xf>
    <xf numFmtId="0" fontId="8" fillId="0" borderId="9" xfId="0" applyFont="1" applyFill="1" applyBorder="1" applyAlignment="1">
      <alignment horizontal="left"/>
    </xf>
    <xf numFmtId="2" fontId="16" fillId="10" borderId="0" xfId="0" applyNumberFormat="1" applyFont="1" applyFill="1" applyBorder="1" applyAlignment="1" applyProtection="1">
      <alignment/>
      <protection/>
    </xf>
    <xf numFmtId="0" fontId="18" fillId="10" borderId="0" xfId="0" applyFont="1" applyFill="1" applyAlignment="1">
      <alignment/>
    </xf>
    <xf numFmtId="0" fontId="0" fillId="0" borderId="20" xfId="0" applyBorder="1" applyAlignment="1">
      <alignment/>
    </xf>
    <xf numFmtId="0" fontId="0" fillId="0" borderId="21" xfId="0" applyBorder="1" applyAlignment="1">
      <alignment/>
    </xf>
    <xf numFmtId="0" fontId="0" fillId="0" borderId="21" xfId="0" applyBorder="1" applyAlignment="1">
      <alignment/>
    </xf>
    <xf numFmtId="2" fontId="1" fillId="2" borderId="22" xfId="0" applyNumberFormat="1" applyFont="1" applyFill="1" applyBorder="1" applyAlignment="1">
      <alignment/>
    </xf>
    <xf numFmtId="2" fontId="0" fillId="2" borderId="23" xfId="0" applyNumberFormat="1" applyFill="1" applyBorder="1" applyAlignment="1">
      <alignment/>
    </xf>
    <xf numFmtId="2" fontId="0" fillId="2" borderId="24" xfId="0" applyNumberFormat="1" applyFill="1" applyBorder="1" applyAlignment="1">
      <alignment/>
    </xf>
    <xf numFmtId="2" fontId="1" fillId="2" borderId="23" xfId="0" applyNumberFormat="1" applyFont="1" applyFill="1" applyBorder="1" applyAlignment="1">
      <alignment/>
    </xf>
    <xf numFmtId="2" fontId="2" fillId="2" borderId="23" xfId="0" applyNumberFormat="1" applyFont="1" applyFill="1" applyBorder="1" applyAlignment="1">
      <alignment/>
    </xf>
    <xf numFmtId="2" fontId="0" fillId="2" borderId="25" xfId="0" applyNumberFormat="1" applyFill="1" applyBorder="1" applyAlignment="1">
      <alignment/>
    </xf>
    <xf numFmtId="2" fontId="0" fillId="2" borderId="22" xfId="0" applyNumberFormat="1" applyFill="1" applyBorder="1" applyAlignment="1">
      <alignment/>
    </xf>
    <xf numFmtId="2" fontId="6" fillId="2" borderId="26" xfId="0" applyNumberFormat="1" applyFont="1" applyFill="1" applyBorder="1" applyAlignment="1">
      <alignment/>
    </xf>
    <xf numFmtId="2" fontId="6" fillId="2" borderId="1" xfId="0" applyNumberFormat="1" applyFont="1" applyFill="1" applyBorder="1" applyAlignment="1">
      <alignment/>
    </xf>
    <xf numFmtId="2" fontId="6" fillId="2" borderId="0" xfId="0" applyNumberFormat="1" applyFont="1" applyFill="1" applyBorder="1" applyAlignment="1">
      <alignment/>
    </xf>
    <xf numFmtId="2" fontId="1" fillId="2" borderId="0" xfId="0" applyNumberFormat="1" applyFont="1" applyFill="1" applyBorder="1" applyAlignment="1">
      <alignment/>
    </xf>
    <xf numFmtId="2" fontId="7" fillId="8" borderId="0" xfId="0" applyNumberFormat="1" applyFont="1" applyFill="1" applyBorder="1" applyAlignment="1">
      <alignment/>
    </xf>
    <xf numFmtId="2" fontId="0" fillId="8" borderId="0" xfId="0" applyNumberFormat="1" applyFont="1" applyFill="1" applyBorder="1" applyAlignment="1">
      <alignment/>
    </xf>
    <xf numFmtId="2" fontId="1" fillId="8" borderId="27" xfId="0" applyNumberFormat="1" applyFont="1" applyFill="1" applyBorder="1" applyAlignment="1">
      <alignment/>
    </xf>
    <xf numFmtId="2" fontId="0" fillId="8" borderId="19" xfId="0" applyNumberFormat="1" applyFont="1" applyFill="1" applyBorder="1" applyAlignment="1">
      <alignment/>
    </xf>
    <xf numFmtId="0" fontId="0" fillId="0" borderId="0" xfId="0" applyBorder="1" applyAlignment="1">
      <alignment/>
    </xf>
    <xf numFmtId="173" fontId="1" fillId="2" borderId="0" xfId="0" applyNumberFormat="1" applyFont="1" applyFill="1" applyBorder="1" applyAlignment="1">
      <alignment horizontal="center"/>
    </xf>
    <xf numFmtId="173" fontId="1" fillId="2" borderId="9" xfId="0" applyNumberFormat="1" applyFont="1" applyFill="1" applyBorder="1" applyAlignment="1">
      <alignment horizontal="center"/>
    </xf>
    <xf numFmtId="173" fontId="0" fillId="0" borderId="0" xfId="0" applyNumberFormat="1" applyAlignment="1">
      <alignment/>
    </xf>
    <xf numFmtId="173" fontId="6" fillId="2" borderId="7" xfId="0" applyNumberFormat="1" applyFont="1" applyFill="1" applyBorder="1" applyAlignment="1">
      <alignment/>
    </xf>
    <xf numFmtId="173" fontId="1" fillId="2" borderId="1" xfId="0" applyNumberFormat="1" applyFont="1" applyFill="1" applyBorder="1" applyAlignment="1">
      <alignment horizontal="center"/>
    </xf>
    <xf numFmtId="173" fontId="1" fillId="2" borderId="4" xfId="0" applyNumberFormat="1" applyFont="1" applyFill="1" applyBorder="1" applyAlignment="1">
      <alignment horizontal="center"/>
    </xf>
    <xf numFmtId="173" fontId="6" fillId="2" borderId="13" xfId="0" applyNumberFormat="1" applyFont="1" applyFill="1" applyBorder="1" applyAlignment="1">
      <alignment/>
    </xf>
    <xf numFmtId="173" fontId="8" fillId="2" borderId="0" xfId="0" applyNumberFormat="1" applyFont="1" applyFill="1" applyBorder="1" applyAlignment="1">
      <alignment horizontal="center"/>
    </xf>
    <xf numFmtId="173" fontId="8" fillId="2" borderId="9" xfId="0" applyNumberFormat="1" applyFont="1" applyFill="1" applyBorder="1" applyAlignment="1">
      <alignment horizontal="center"/>
    </xf>
    <xf numFmtId="173" fontId="8" fillId="0" borderId="9" xfId="0" applyNumberFormat="1" applyFont="1" applyFill="1" applyBorder="1" applyAlignment="1">
      <alignment horizontal="left"/>
    </xf>
    <xf numFmtId="173" fontId="6" fillId="2" borderId="9" xfId="0" applyNumberFormat="1" applyFont="1" applyFill="1" applyBorder="1" applyAlignment="1">
      <alignment/>
    </xf>
    <xf numFmtId="1" fontId="19" fillId="0" borderId="0" xfId="0" applyNumberFormat="1" applyFont="1" applyFill="1" applyBorder="1" applyAlignment="1" applyProtection="1">
      <alignment horizontal="center"/>
      <protection/>
    </xf>
    <xf numFmtId="1" fontId="19"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1" fontId="10" fillId="4" borderId="0" xfId="0" applyNumberFormat="1" applyFont="1" applyFill="1" applyAlignment="1" applyProtection="1">
      <alignment horizontal="center"/>
      <protection/>
    </xf>
    <xf numFmtId="1" fontId="10" fillId="4" borderId="0" xfId="0" applyNumberFormat="1" applyFont="1" applyFill="1" applyAlignment="1">
      <alignment/>
    </xf>
    <xf numFmtId="1" fontId="9" fillId="4" borderId="0" xfId="0" applyNumberFormat="1" applyFont="1" applyFill="1" applyAlignment="1">
      <alignment horizontal="center"/>
    </xf>
    <xf numFmtId="1" fontId="10" fillId="3" borderId="0" xfId="0" applyNumberFormat="1" applyFont="1" applyFill="1" applyAlignment="1">
      <alignment/>
    </xf>
    <xf numFmtId="1" fontId="9" fillId="3" borderId="0" xfId="0" applyNumberFormat="1" applyFont="1" applyFill="1" applyAlignment="1">
      <alignment horizontal="center"/>
    </xf>
    <xf numFmtId="1" fontId="7" fillId="0" borderId="0" xfId="0" applyNumberFormat="1" applyFont="1" applyAlignment="1">
      <alignment/>
    </xf>
    <xf numFmtId="1" fontId="6" fillId="0" borderId="7" xfId="0" applyNumberFormat="1" applyFont="1" applyFill="1" applyBorder="1" applyAlignment="1">
      <alignment/>
    </xf>
    <xf numFmtId="1" fontId="20" fillId="0" borderId="7" xfId="0" applyNumberFormat="1" applyFont="1" applyFill="1" applyBorder="1" applyAlignment="1">
      <alignment/>
    </xf>
    <xf numFmtId="1" fontId="6" fillId="0" borderId="16" xfId="0" applyNumberFormat="1" applyFont="1" applyFill="1" applyBorder="1" applyAlignment="1">
      <alignment/>
    </xf>
    <xf numFmtId="1" fontId="7" fillId="0" borderId="0" xfId="0" applyNumberFormat="1" applyFont="1" applyFill="1" applyAlignment="1">
      <alignment/>
    </xf>
    <xf numFmtId="1" fontId="6" fillId="2" borderId="7" xfId="0" applyNumberFormat="1" applyFont="1" applyFill="1" applyBorder="1" applyAlignment="1">
      <alignment/>
    </xf>
    <xf numFmtId="1" fontId="6" fillId="2" borderId="16" xfId="0" applyNumberFormat="1" applyFont="1" applyFill="1" applyBorder="1" applyAlignment="1">
      <alignment/>
    </xf>
    <xf numFmtId="2" fontId="0" fillId="2" borderId="0" xfId="0" applyNumberFormat="1" applyFill="1" applyAlignment="1" quotePrefix="1">
      <alignment/>
    </xf>
    <xf numFmtId="2" fontId="1" fillId="2" borderId="0" xfId="0" applyNumberFormat="1" applyFont="1" applyFill="1" applyAlignment="1">
      <alignment/>
    </xf>
    <xf numFmtId="2" fontId="0" fillId="8" borderId="1" xfId="0" applyNumberFormat="1" applyFont="1" applyFill="1" applyBorder="1" applyAlignment="1">
      <alignment/>
    </xf>
    <xf numFmtId="0" fontId="21" fillId="0" borderId="0" xfId="0" applyFont="1" applyAlignment="1">
      <alignment/>
    </xf>
    <xf numFmtId="0" fontId="21" fillId="0" borderId="0" xfId="0" applyFont="1" applyAlignment="1">
      <alignment horizontal="right"/>
    </xf>
    <xf numFmtId="173" fontId="21" fillId="0" borderId="0" xfId="0" applyNumberFormat="1" applyFont="1" applyAlignment="1">
      <alignment/>
    </xf>
    <xf numFmtId="1" fontId="0" fillId="2" borderId="0" xfId="0" applyNumberFormat="1" applyFill="1" applyAlignment="1">
      <alignment/>
    </xf>
    <xf numFmtId="1" fontId="1" fillId="2" borderId="1" xfId="0" applyNumberFormat="1" applyFont="1" applyFill="1" applyBorder="1" applyAlignment="1">
      <alignment/>
    </xf>
    <xf numFmtId="1" fontId="6" fillId="2" borderId="26" xfId="0" applyNumberFormat="1" applyFont="1" applyFill="1" applyBorder="1" applyAlignment="1">
      <alignment/>
    </xf>
    <xf numFmtId="1" fontId="1" fillId="2" borderId="0" xfId="0" applyNumberFormat="1" applyFont="1" applyFill="1" applyAlignment="1">
      <alignment/>
    </xf>
    <xf numFmtId="1" fontId="0" fillId="2" borderId="28" xfId="0" applyNumberFormat="1" applyFill="1" applyBorder="1" applyAlignment="1">
      <alignment/>
    </xf>
    <xf numFmtId="1" fontId="0" fillId="2" borderId="19" xfId="0" applyNumberFormat="1" applyFill="1" applyBorder="1" applyAlignment="1">
      <alignment/>
    </xf>
    <xf numFmtId="1" fontId="1" fillId="2" borderId="3" xfId="0" applyNumberFormat="1" applyFont="1" applyFill="1" applyBorder="1" applyAlignment="1">
      <alignment/>
    </xf>
    <xf numFmtId="1" fontId="1" fillId="2" borderId="0" xfId="0" applyNumberFormat="1" applyFont="1" applyFill="1" applyBorder="1" applyAlignment="1">
      <alignment/>
    </xf>
    <xf numFmtId="1" fontId="2" fillId="2" borderId="0" xfId="0" applyNumberFormat="1" applyFont="1" applyFill="1" applyAlignment="1">
      <alignment/>
    </xf>
    <xf numFmtId="1" fontId="15" fillId="2" borderId="1" xfId="0" applyNumberFormat="1" applyFont="1" applyFill="1" applyBorder="1" applyAlignment="1">
      <alignment/>
    </xf>
    <xf numFmtId="1" fontId="0" fillId="2" borderId="29" xfId="0" applyNumberFormat="1" applyFill="1" applyBorder="1" applyAlignment="1">
      <alignment/>
    </xf>
    <xf numFmtId="1" fontId="0" fillId="2" borderId="9" xfId="0" applyNumberFormat="1" applyFill="1" applyBorder="1" applyAlignment="1">
      <alignment/>
    </xf>
    <xf numFmtId="1" fontId="1" fillId="2" borderId="4" xfId="0" applyNumberFormat="1" applyFont="1" applyFill="1" applyBorder="1" applyAlignment="1">
      <alignment/>
    </xf>
    <xf numFmtId="173" fontId="7" fillId="0" borderId="0" xfId="0" applyNumberFormat="1" applyFont="1" applyFill="1" applyAlignment="1">
      <alignment/>
    </xf>
    <xf numFmtId="0" fontId="0" fillId="10" borderId="0" xfId="0" applyFill="1" applyAlignment="1">
      <alignment/>
    </xf>
    <xf numFmtId="0" fontId="0" fillId="4" borderId="0" xfId="0" applyFill="1" applyAlignment="1">
      <alignment/>
    </xf>
    <xf numFmtId="0" fontId="0" fillId="3" borderId="0" xfId="0" applyFill="1" applyAlignment="1">
      <alignment/>
    </xf>
    <xf numFmtId="0" fontId="8" fillId="2" borderId="9" xfId="0" applyFont="1" applyFill="1" applyBorder="1" applyAlignment="1">
      <alignment horizontal="left"/>
    </xf>
    <xf numFmtId="2" fontId="6" fillId="0" borderId="0" xfId="0" applyNumberFormat="1" applyFont="1" applyBorder="1" applyAlignment="1">
      <alignment horizontal="left"/>
    </xf>
    <xf numFmtId="1" fontId="7" fillId="0" borderId="0" xfId="0" applyNumberFormat="1" applyFont="1" applyBorder="1" applyAlignment="1">
      <alignment horizontal="center"/>
    </xf>
    <xf numFmtId="1" fontId="6" fillId="0" borderId="0" xfId="0" applyNumberFormat="1" applyFont="1" applyBorder="1" applyAlignment="1">
      <alignment horizontal="center"/>
    </xf>
    <xf numFmtId="0" fontId="0" fillId="2" borderId="8" xfId="0" applyFill="1" applyBorder="1" applyAlignment="1">
      <alignment/>
    </xf>
    <xf numFmtId="0" fontId="0" fillId="2" borderId="17" xfId="0" applyFill="1" applyBorder="1" applyAlignment="1">
      <alignment/>
    </xf>
    <xf numFmtId="0" fontId="0" fillId="2" borderId="9" xfId="0" applyFill="1" applyBorder="1" applyAlignment="1">
      <alignment/>
    </xf>
    <xf numFmtId="0" fontId="0" fillId="2" borderId="15" xfId="0" applyFill="1" applyBorder="1" applyAlignment="1">
      <alignment/>
    </xf>
    <xf numFmtId="0" fontId="0" fillId="0" borderId="9" xfId="0" applyBorder="1" applyAlignment="1">
      <alignment/>
    </xf>
    <xf numFmtId="0" fontId="7" fillId="0" borderId="9" xfId="0" applyFont="1" applyBorder="1" applyAlignment="1">
      <alignment/>
    </xf>
    <xf numFmtId="0" fontId="1" fillId="2" borderId="8" xfId="0" applyFont="1" applyFill="1" applyBorder="1" applyAlignment="1">
      <alignment horizontal="left"/>
    </xf>
    <xf numFmtId="0" fontId="8" fillId="2" borderId="8" xfId="0" applyFont="1" applyFill="1" applyBorder="1" applyAlignment="1">
      <alignment horizontal="left"/>
    </xf>
    <xf numFmtId="0" fontId="1" fillId="2" borderId="9" xfId="0" applyFont="1" applyFill="1" applyBorder="1" applyAlignment="1">
      <alignment horizontal="left"/>
    </xf>
    <xf numFmtId="173" fontId="22" fillId="0" borderId="0" xfId="0" applyNumberFormat="1" applyFont="1" applyAlignment="1">
      <alignment/>
    </xf>
    <xf numFmtId="0" fontId="22" fillId="0" borderId="0" xfId="0" applyFont="1" applyAlignment="1">
      <alignment/>
    </xf>
    <xf numFmtId="2" fontId="22" fillId="0" borderId="0" xfId="0" applyNumberFormat="1" applyFont="1" applyAlignment="1">
      <alignment/>
    </xf>
    <xf numFmtId="2" fontId="0" fillId="0" borderId="30" xfId="0" applyNumberFormat="1" applyBorder="1" applyAlignment="1">
      <alignment/>
    </xf>
    <xf numFmtId="2" fontId="0" fillId="0" borderId="0" xfId="0" applyNumberFormat="1" applyBorder="1" applyAlignment="1">
      <alignment/>
    </xf>
    <xf numFmtId="2" fontId="0" fillId="0" borderId="11" xfId="0" applyNumberFormat="1" applyBorder="1" applyAlignment="1">
      <alignment/>
    </xf>
    <xf numFmtId="2" fontId="0" fillId="0" borderId="9" xfId="0" applyNumberFormat="1" applyBorder="1" applyAlignment="1">
      <alignment/>
    </xf>
    <xf numFmtId="2" fontId="7" fillId="0" borderId="9" xfId="0" applyNumberFormat="1" applyFont="1" applyBorder="1" applyAlignment="1">
      <alignment/>
    </xf>
    <xf numFmtId="2" fontId="0" fillId="0" borderId="29" xfId="0" applyNumberFormat="1" applyBorder="1" applyAlignment="1">
      <alignment/>
    </xf>
    <xf numFmtId="2" fontId="2" fillId="0" borderId="0" xfId="0" applyNumberFormat="1" applyFont="1" applyAlignment="1">
      <alignment/>
    </xf>
    <xf numFmtId="2" fontId="0" fillId="0" borderId="31" xfId="0" applyNumberFormat="1" applyBorder="1" applyAlignment="1">
      <alignment/>
    </xf>
    <xf numFmtId="2" fontId="0" fillId="0" borderId="29" xfId="0" applyNumberFormat="1" applyFont="1" applyBorder="1" applyAlignment="1">
      <alignment/>
    </xf>
    <xf numFmtId="2" fontId="0" fillId="0" borderId="9" xfId="0" applyNumberFormat="1" applyFont="1" applyBorder="1" applyAlignment="1">
      <alignment/>
    </xf>
    <xf numFmtId="2" fontId="5" fillId="0" borderId="0" xfId="0" applyNumberFormat="1" applyFont="1" applyAlignment="1">
      <alignment/>
    </xf>
    <xf numFmtId="2" fontId="1" fillId="2" borderId="31" xfId="0" applyNumberFormat="1" applyFont="1" applyFill="1" applyBorder="1" applyAlignment="1">
      <alignment/>
    </xf>
    <xf numFmtId="2" fontId="0" fillId="2" borderId="31" xfId="0" applyNumberFormat="1" applyFill="1" applyBorder="1" applyAlignment="1">
      <alignment/>
    </xf>
    <xf numFmtId="2" fontId="0" fillId="2" borderId="0" xfId="0" applyNumberFormat="1" applyFill="1" applyBorder="1" applyAlignment="1">
      <alignment/>
    </xf>
    <xf numFmtId="2" fontId="0" fillId="2" borderId="28" xfId="0" applyNumberFormat="1" applyFill="1" applyBorder="1" applyAlignment="1">
      <alignment/>
    </xf>
    <xf numFmtId="1" fontId="0" fillId="2" borderId="31" xfId="0" applyNumberFormat="1" applyFill="1" applyBorder="1" applyAlignment="1">
      <alignment/>
    </xf>
    <xf numFmtId="1" fontId="0" fillId="2" borderId="32" xfId="0" applyNumberFormat="1" applyFill="1" applyBorder="1" applyAlignment="1">
      <alignment/>
    </xf>
    <xf numFmtId="173" fontId="1" fillId="2" borderId="0" xfId="0" applyNumberFormat="1" applyFont="1" applyFill="1" applyBorder="1" applyAlignment="1">
      <alignment/>
    </xf>
    <xf numFmtId="173" fontId="1" fillId="2" borderId="14" xfId="0" applyNumberFormat="1" applyFont="1" applyFill="1" applyBorder="1" applyAlignment="1">
      <alignment/>
    </xf>
    <xf numFmtId="173" fontId="0" fillId="2" borderId="0" xfId="0" applyNumberFormat="1" applyFill="1" applyAlignment="1">
      <alignment/>
    </xf>
    <xf numFmtId="173" fontId="0" fillId="2" borderId="31" xfId="0" applyNumberFormat="1" applyFill="1" applyBorder="1" applyAlignment="1">
      <alignment/>
    </xf>
    <xf numFmtId="173" fontId="0" fillId="2" borderId="0" xfId="0" applyNumberFormat="1" applyFill="1" applyBorder="1" applyAlignment="1">
      <alignment/>
    </xf>
    <xf numFmtId="173" fontId="0" fillId="2" borderId="29" xfId="0" applyNumberFormat="1" applyFill="1" applyBorder="1" applyAlignment="1">
      <alignment/>
    </xf>
    <xf numFmtId="173" fontId="0" fillId="2" borderId="9" xfId="0" applyNumberFormat="1" applyFill="1" applyBorder="1" applyAlignment="1">
      <alignment/>
    </xf>
    <xf numFmtId="173" fontId="1" fillId="2" borderId="15" xfId="0" applyNumberFormat="1" applyFont="1" applyFill="1" applyBorder="1" applyAlignment="1">
      <alignment/>
    </xf>
    <xf numFmtId="173" fontId="1" fillId="2" borderId="1" xfId="0" applyNumberFormat="1" applyFont="1" applyFill="1" applyBorder="1" applyAlignment="1">
      <alignment/>
    </xf>
    <xf numFmtId="173" fontId="6" fillId="2" borderId="16" xfId="0" applyNumberFormat="1" applyFont="1" applyFill="1" applyBorder="1" applyAlignment="1">
      <alignment/>
    </xf>
    <xf numFmtId="173" fontId="6" fillId="2" borderId="26" xfId="0" applyNumberFormat="1" applyFont="1" applyFill="1" applyBorder="1" applyAlignment="1">
      <alignment/>
    </xf>
    <xf numFmtId="173" fontId="1" fillId="2" borderId="0" xfId="0" applyNumberFormat="1" applyFont="1" applyFill="1" applyAlignment="1">
      <alignment/>
    </xf>
    <xf numFmtId="173" fontId="0" fillId="2" borderId="19" xfId="0" applyNumberFormat="1" applyFill="1" applyBorder="1" applyAlignment="1">
      <alignment/>
    </xf>
    <xf numFmtId="173" fontId="1" fillId="2" borderId="3" xfId="0" applyNumberFormat="1" applyFont="1" applyFill="1" applyBorder="1" applyAlignment="1">
      <alignment/>
    </xf>
    <xf numFmtId="173" fontId="2" fillId="2" borderId="0" xfId="0" applyNumberFormat="1" applyFont="1" applyFill="1" applyAlignment="1">
      <alignment/>
    </xf>
    <xf numFmtId="173" fontId="15" fillId="2" borderId="1" xfId="0" applyNumberFormat="1" applyFont="1" applyFill="1" applyBorder="1" applyAlignment="1">
      <alignment/>
    </xf>
    <xf numFmtId="173" fontId="1" fillId="2" borderId="4" xfId="0" applyNumberFormat="1" applyFont="1" applyFill="1" applyBorder="1" applyAlignment="1">
      <alignment/>
    </xf>
    <xf numFmtId="0" fontId="21" fillId="0" borderId="0" xfId="0" applyFont="1" applyAlignment="1">
      <alignment horizontal="left"/>
    </xf>
    <xf numFmtId="0" fontId="8" fillId="0" borderId="0" xfId="0" applyFont="1" applyAlignment="1">
      <alignment wrapText="1"/>
    </xf>
    <xf numFmtId="0" fontId="23" fillId="6" borderId="0" xfId="0" applyFont="1" applyFill="1" applyAlignment="1">
      <alignment/>
    </xf>
    <xf numFmtId="173" fontId="0" fillId="0" borderId="0" xfId="0" applyNumberFormat="1" applyFill="1" applyAlignment="1">
      <alignment/>
    </xf>
    <xf numFmtId="2" fontId="0" fillId="0" borderId="0" xfId="0" applyNumberFormat="1" applyFill="1" applyBorder="1" applyAlignment="1">
      <alignment horizontal="right"/>
    </xf>
    <xf numFmtId="0" fontId="0" fillId="0" borderId="0" xfId="0" applyFill="1" applyAlignment="1">
      <alignment horizontal="right"/>
    </xf>
    <xf numFmtId="173" fontId="0" fillId="0" borderId="0" xfId="0" applyNumberFormat="1" applyFill="1" applyBorder="1" applyAlignment="1">
      <alignment/>
    </xf>
    <xf numFmtId="2" fontId="5" fillId="8" borderId="10" xfId="0" applyNumberFormat="1" applyFont="1" applyFill="1" applyBorder="1" applyAlignment="1">
      <alignment/>
    </xf>
    <xf numFmtId="2" fontId="5" fillId="8" borderId="8" xfId="0" applyNumberFormat="1" applyFont="1" applyFill="1" applyBorder="1" applyAlignment="1">
      <alignment/>
    </xf>
    <xf numFmtId="2" fontId="5" fillId="8" borderId="17" xfId="0" applyNumberFormat="1" applyFont="1" applyFill="1" applyBorder="1" applyAlignment="1">
      <alignment/>
    </xf>
    <xf numFmtId="2" fontId="0" fillId="6" borderId="0" xfId="0" applyNumberFormat="1" applyFill="1" applyBorder="1" applyAlignment="1">
      <alignment/>
    </xf>
    <xf numFmtId="2" fontId="25" fillId="0" borderId="0" xfId="0" applyNumberFormat="1" applyFont="1" applyFill="1" applyBorder="1" applyAlignment="1">
      <alignment/>
    </xf>
    <xf numFmtId="2" fontId="0" fillId="0" borderId="1" xfId="0" applyNumberFormat="1" applyFill="1" applyBorder="1" applyAlignment="1">
      <alignment/>
    </xf>
    <xf numFmtId="2" fontId="6" fillId="0" borderId="6" xfId="0" applyNumberFormat="1" applyFont="1" applyFill="1" applyBorder="1" applyAlignment="1">
      <alignment/>
    </xf>
    <xf numFmtId="2" fontId="1" fillId="0" borderId="1" xfId="0" applyNumberFormat="1" applyFont="1" applyFill="1" applyBorder="1" applyAlignment="1">
      <alignment/>
    </xf>
    <xf numFmtId="2" fontId="0" fillId="0" borderId="3" xfId="0" applyNumberFormat="1" applyFill="1" applyBorder="1" applyAlignment="1">
      <alignment/>
    </xf>
    <xf numFmtId="2" fontId="0" fillId="0" borderId="1" xfId="0" applyNumberFormat="1" applyFont="1" applyFill="1" applyBorder="1" applyAlignment="1">
      <alignment/>
    </xf>
    <xf numFmtId="2" fontId="2" fillId="0" borderId="1" xfId="0" applyNumberFormat="1" applyFont="1" applyFill="1" applyBorder="1" applyAlignment="1">
      <alignment/>
    </xf>
    <xf numFmtId="2" fontId="0" fillId="0" borderId="4" xfId="0" applyNumberFormat="1" applyFill="1" applyBorder="1" applyAlignment="1">
      <alignment/>
    </xf>
    <xf numFmtId="2" fontId="6" fillId="0" borderId="1" xfId="0" applyNumberFormat="1" applyFont="1" applyFill="1" applyBorder="1" applyAlignment="1">
      <alignment/>
    </xf>
    <xf numFmtId="173" fontId="19" fillId="0" borderId="0" xfId="0" applyNumberFormat="1" applyFont="1" applyAlignment="1">
      <alignment/>
    </xf>
    <xf numFmtId="173" fontId="19" fillId="0" borderId="0" xfId="0" applyNumberFormat="1" applyFont="1" applyFill="1" applyBorder="1" applyAlignment="1">
      <alignment/>
    </xf>
    <xf numFmtId="173" fontId="19" fillId="11" borderId="0" xfId="0" applyNumberFormat="1" applyFont="1" applyFill="1" applyAlignment="1">
      <alignment/>
    </xf>
    <xf numFmtId="173" fontId="19" fillId="11" borderId="1" xfId="0" applyNumberFormat="1" applyFont="1" applyFill="1" applyBorder="1" applyAlignment="1">
      <alignment/>
    </xf>
    <xf numFmtId="2" fontId="6" fillId="0" borderId="33" xfId="0" applyNumberFormat="1" applyFont="1" applyFill="1" applyBorder="1" applyAlignment="1">
      <alignment/>
    </xf>
    <xf numFmtId="173" fontId="19" fillId="7" borderId="0" xfId="0" applyNumberFormat="1" applyFont="1" applyFill="1" applyAlignment="1">
      <alignment/>
    </xf>
    <xf numFmtId="173" fontId="19" fillId="7" borderId="0" xfId="0" applyNumberFormat="1" applyFont="1" applyFill="1" applyBorder="1" applyAlignment="1">
      <alignment/>
    </xf>
    <xf numFmtId="173" fontId="19" fillId="7" borderId="1" xfId="0" applyNumberFormat="1" applyFont="1" applyFill="1" applyBorder="1" applyAlignment="1">
      <alignment/>
    </xf>
    <xf numFmtId="175" fontId="0" fillId="8" borderId="0" xfId="0" applyNumberFormat="1" applyFill="1" applyAlignment="1">
      <alignment/>
    </xf>
    <xf numFmtId="2" fontId="0" fillId="8" borderId="28" xfId="0" applyNumberFormat="1" applyFill="1" applyBorder="1" applyAlignment="1">
      <alignment/>
    </xf>
    <xf numFmtId="0" fontId="23" fillId="0" borderId="0" xfId="0" applyFont="1" applyFill="1" applyAlignment="1">
      <alignment/>
    </xf>
    <xf numFmtId="173" fontId="19" fillId="11" borderId="0" xfId="0" applyNumberFormat="1" applyFont="1" applyFill="1" applyBorder="1" applyAlignment="1">
      <alignment/>
    </xf>
    <xf numFmtId="0" fontId="0" fillId="6" borderId="0" xfId="0" applyFill="1" applyBorder="1" applyAlignment="1">
      <alignment/>
    </xf>
    <xf numFmtId="2" fontId="6" fillId="0" borderId="2" xfId="0" applyNumberFormat="1" applyFont="1" applyFill="1" applyBorder="1" applyAlignment="1">
      <alignment/>
    </xf>
    <xf numFmtId="2" fontId="25" fillId="0" borderId="34" xfId="0" applyNumberFormat="1" applyFont="1" applyFill="1" applyBorder="1" applyAlignment="1">
      <alignment/>
    </xf>
    <xf numFmtId="2" fontId="6" fillId="0" borderId="35" xfId="0" applyNumberFormat="1" applyFont="1" applyFill="1" applyBorder="1" applyAlignment="1">
      <alignment/>
    </xf>
    <xf numFmtId="2" fontId="0" fillId="0" borderId="23" xfId="0" applyNumberFormat="1" applyFill="1" applyBorder="1" applyAlignment="1">
      <alignment/>
    </xf>
    <xf numFmtId="2" fontId="0" fillId="0" borderId="24" xfId="0" applyNumberFormat="1" applyFill="1" applyBorder="1" applyAlignment="1">
      <alignment/>
    </xf>
    <xf numFmtId="2" fontId="0" fillId="0" borderId="0" xfId="0" applyNumberFormat="1" applyFill="1" applyAlignment="1">
      <alignment/>
    </xf>
    <xf numFmtId="2" fontId="0" fillId="0" borderId="0" xfId="0" applyNumberFormat="1" applyFill="1" applyAlignment="1" quotePrefix="1">
      <alignment/>
    </xf>
    <xf numFmtId="2" fontId="6" fillId="0" borderId="7" xfId="0" applyNumberFormat="1" applyFont="1" applyFill="1" applyBorder="1" applyAlignment="1">
      <alignment/>
    </xf>
    <xf numFmtId="173" fontId="6" fillId="0" borderId="7" xfId="0" applyNumberFormat="1" applyFont="1" applyFill="1" applyBorder="1" applyAlignment="1">
      <alignment/>
    </xf>
    <xf numFmtId="2" fontId="6" fillId="0" borderId="16" xfId="0" applyNumberFormat="1" applyFont="1" applyFill="1" applyBorder="1" applyAlignment="1">
      <alignment/>
    </xf>
    <xf numFmtId="175" fontId="0" fillId="2" borderId="0" xfId="0" applyNumberFormat="1" applyFill="1" applyAlignment="1">
      <alignment/>
    </xf>
    <xf numFmtId="175" fontId="0" fillId="8" borderId="0" xfId="0" applyNumberFormat="1" applyFill="1" applyBorder="1" applyAlignment="1">
      <alignment/>
    </xf>
    <xf numFmtId="175" fontId="1" fillId="8" borderId="0" xfId="0" applyNumberFormat="1" applyFont="1" applyFill="1" applyAlignment="1">
      <alignment/>
    </xf>
    <xf numFmtId="175" fontId="0" fillId="8" borderId="28" xfId="0" applyNumberFormat="1" applyFill="1" applyBorder="1" applyAlignment="1">
      <alignment/>
    </xf>
    <xf numFmtId="175" fontId="0" fillId="8" borderId="19" xfId="0" applyNumberFormat="1" applyFill="1" applyBorder="1" applyAlignment="1">
      <alignment/>
    </xf>
    <xf numFmtId="175" fontId="2" fillId="8" borderId="0" xfId="0" applyNumberFormat="1" applyFont="1" applyFill="1" applyAlignment="1">
      <alignment/>
    </xf>
    <xf numFmtId="175" fontId="0" fillId="8" borderId="31" xfId="0" applyNumberFormat="1" applyFill="1" applyBorder="1" applyAlignment="1">
      <alignment/>
    </xf>
    <xf numFmtId="173" fontId="25" fillId="7" borderId="0" xfId="0" applyNumberFormat="1" applyFont="1" applyFill="1" applyBorder="1" applyAlignment="1">
      <alignment/>
    </xf>
    <xf numFmtId="2" fontId="25" fillId="7" borderId="0" xfId="0" applyNumberFormat="1" applyFont="1" applyFill="1" applyBorder="1" applyAlignment="1">
      <alignment/>
    </xf>
    <xf numFmtId="173" fontId="25" fillId="7" borderId="0" xfId="0" applyNumberFormat="1" applyFont="1" applyFill="1" applyAlignment="1">
      <alignment/>
    </xf>
    <xf numFmtId="173" fontId="19" fillId="0" borderId="0" xfId="0" applyNumberFormat="1" applyFont="1" applyFill="1" applyAlignment="1">
      <alignment/>
    </xf>
    <xf numFmtId="2" fontId="6" fillId="0" borderId="0" xfId="0" applyNumberFormat="1" applyFont="1" applyFill="1" applyBorder="1" applyAlignment="1">
      <alignment/>
    </xf>
    <xf numFmtId="2" fontId="0" fillId="0" borderId="0" xfId="0" applyNumberFormat="1" applyFont="1" applyFill="1" applyBorder="1" applyAlignment="1">
      <alignment/>
    </xf>
    <xf numFmtId="2" fontId="2" fillId="0" borderId="0" xfId="0" applyNumberFormat="1" applyFont="1" applyFill="1" applyBorder="1" applyAlignment="1">
      <alignment/>
    </xf>
    <xf numFmtId="0" fontId="0" fillId="0" borderId="0" xfId="0" applyAlignment="1" applyProtection="1">
      <alignment horizontal="left"/>
      <protection/>
    </xf>
    <xf numFmtId="0" fontId="28" fillId="0" borderId="0" xfId="0" applyFont="1" applyAlignment="1" applyProtection="1">
      <alignment/>
      <protection locked="0"/>
    </xf>
    <xf numFmtId="0" fontId="0" fillId="0" borderId="0" xfId="0" applyAlignment="1" applyProtection="1">
      <alignment horizontal="fill"/>
      <protection/>
    </xf>
    <xf numFmtId="0" fontId="0" fillId="0" borderId="0" xfId="0" applyAlignment="1" applyProtection="1">
      <alignment horizontal="center"/>
      <protection/>
    </xf>
    <xf numFmtId="0" fontId="28" fillId="0" borderId="0" xfId="0" applyFont="1" applyAlignment="1" applyProtection="1">
      <alignment horizontal="fill"/>
      <protection locked="0"/>
    </xf>
    <xf numFmtId="172" fontId="0" fillId="0" borderId="0" xfId="0" applyNumberFormat="1" applyAlignment="1" applyProtection="1">
      <alignment/>
      <protection/>
    </xf>
    <xf numFmtId="0" fontId="0" fillId="0" borderId="0" xfId="0" applyAlignment="1" applyProtection="1">
      <alignment/>
      <protection/>
    </xf>
    <xf numFmtId="176" fontId="0" fillId="0" borderId="0" xfId="0" applyNumberFormat="1" applyAlignment="1" applyProtection="1">
      <alignment horizontal="left"/>
      <protection/>
    </xf>
    <xf numFmtId="176" fontId="28" fillId="0" borderId="0" xfId="0" applyNumberFormat="1" applyFont="1" applyAlignment="1" applyProtection="1">
      <alignment/>
      <protection locked="0"/>
    </xf>
    <xf numFmtId="176" fontId="0" fillId="0" borderId="0" xfId="0" applyNumberFormat="1" applyAlignment="1" applyProtection="1">
      <alignment horizontal="fill"/>
      <protection/>
    </xf>
    <xf numFmtId="176" fontId="0" fillId="0" borderId="0" xfId="0" applyNumberFormat="1" applyAlignment="1" applyProtection="1">
      <alignment/>
      <protection/>
    </xf>
    <xf numFmtId="176" fontId="28" fillId="0" borderId="0" xfId="0" applyNumberFormat="1" applyFont="1" applyAlignment="1" applyProtection="1">
      <alignment horizontal="fill"/>
      <protection locked="0"/>
    </xf>
    <xf numFmtId="0" fontId="28" fillId="0" borderId="0" xfId="0" applyFont="1" applyAlignment="1" applyProtection="1">
      <alignment horizontal="left"/>
      <protection locked="0"/>
    </xf>
    <xf numFmtId="177" fontId="0" fillId="0" borderId="0" xfId="0" applyNumberFormat="1" applyAlignment="1" applyProtection="1">
      <alignment/>
      <protection/>
    </xf>
    <xf numFmtId="177" fontId="28" fillId="0" borderId="0" xfId="0" applyNumberFormat="1" applyFont="1" applyAlignment="1" applyProtection="1">
      <alignment/>
      <protection locked="0"/>
    </xf>
    <xf numFmtId="178" fontId="0" fillId="0" borderId="0" xfId="0" applyNumberFormat="1" applyAlignment="1" applyProtection="1">
      <alignment/>
      <protection/>
    </xf>
    <xf numFmtId="178" fontId="28" fillId="0" borderId="0" xfId="0" applyNumberFormat="1" applyFont="1" applyAlignment="1" applyProtection="1">
      <alignment/>
      <protection locked="0"/>
    </xf>
    <xf numFmtId="177" fontId="0" fillId="0" borderId="0" xfId="0" applyNumberFormat="1" applyAlignment="1" applyProtection="1">
      <alignment horizontal="left"/>
      <protection/>
    </xf>
    <xf numFmtId="172" fontId="0" fillId="0" borderId="0" xfId="0" applyNumberFormat="1" applyAlignment="1" applyProtection="1">
      <alignment horizontal="fill"/>
      <protection/>
    </xf>
    <xf numFmtId="179" fontId="0" fillId="0" borderId="0" xfId="0" applyNumberFormat="1" applyAlignment="1" applyProtection="1">
      <alignment/>
      <protection/>
    </xf>
    <xf numFmtId="180" fontId="0" fillId="0" borderId="0" xfId="0" applyNumberFormat="1" applyAlignment="1" applyProtection="1">
      <alignment/>
      <protection/>
    </xf>
    <xf numFmtId="180" fontId="0" fillId="0" borderId="0" xfId="0" applyNumberFormat="1" applyAlignment="1" applyProtection="1">
      <alignment horizontal="left"/>
      <protection/>
    </xf>
    <xf numFmtId="172" fontId="0" fillId="0" borderId="0" xfId="0" applyNumberFormat="1" applyAlignment="1" applyProtection="1">
      <alignment horizontal="left"/>
      <protection/>
    </xf>
    <xf numFmtId="178" fontId="0" fillId="0" borderId="0" xfId="0" applyNumberFormat="1" applyAlignment="1" applyProtection="1">
      <alignment horizontal="left"/>
      <protection/>
    </xf>
    <xf numFmtId="178" fontId="0" fillId="0" borderId="0" xfId="0" applyNumberFormat="1" applyAlignment="1" applyProtection="1">
      <alignment horizontal="fill"/>
      <protection/>
    </xf>
    <xf numFmtId="0" fontId="28" fillId="0" borderId="0" xfId="0" applyFont="1" applyAlignment="1" applyProtection="1">
      <alignment horizontal="center"/>
      <protection locked="0"/>
    </xf>
    <xf numFmtId="179" fontId="28" fillId="0" borderId="0" xfId="0" applyNumberFormat="1" applyFont="1" applyAlignment="1" applyProtection="1">
      <alignment/>
      <protection locked="0"/>
    </xf>
    <xf numFmtId="0" fontId="29" fillId="0" borderId="0" xfId="0" applyFont="1" applyAlignment="1" applyProtection="1">
      <alignment horizontal="left"/>
      <protection/>
    </xf>
    <xf numFmtId="0" fontId="29" fillId="0" borderId="0" xfId="0" applyFont="1" applyAlignment="1">
      <alignment/>
    </xf>
    <xf numFmtId="0" fontId="29" fillId="0" borderId="0" xfId="0" applyFont="1" applyAlignment="1" applyProtection="1">
      <alignment horizontal="fill"/>
      <protection/>
    </xf>
    <xf numFmtId="0" fontId="29" fillId="0" borderId="0" xfId="0" applyFont="1" applyAlignment="1" applyProtection="1">
      <alignment horizontal="center"/>
      <protection/>
    </xf>
    <xf numFmtId="0" fontId="29" fillId="0" borderId="0" xfId="0" applyFont="1" applyAlignment="1" applyProtection="1">
      <alignment horizontal="right"/>
      <protection/>
    </xf>
    <xf numFmtId="0" fontId="29" fillId="0" borderId="0" xfId="0" applyFont="1" applyAlignment="1" applyProtection="1">
      <alignment/>
      <protection/>
    </xf>
    <xf numFmtId="0" fontId="30" fillId="0" borderId="0" xfId="0" applyFont="1" applyAlignment="1" applyProtection="1">
      <alignment horizontal="right"/>
      <protection locked="0"/>
    </xf>
    <xf numFmtId="0" fontId="0" fillId="12" borderId="10" xfId="0" applyFill="1" applyBorder="1" applyAlignment="1" applyProtection="1">
      <alignment horizontal="left"/>
      <protection/>
    </xf>
    <xf numFmtId="0" fontId="0" fillId="12" borderId="8" xfId="0" applyFill="1" applyBorder="1" applyAlignment="1" applyProtection="1">
      <alignment horizontal="left"/>
      <protection/>
    </xf>
    <xf numFmtId="0" fontId="0" fillId="12" borderId="30" xfId="0" applyFill="1" applyBorder="1" applyAlignment="1" applyProtection="1">
      <alignment horizontal="left"/>
      <protection/>
    </xf>
    <xf numFmtId="0" fontId="0" fillId="12" borderId="0" xfId="0" applyFill="1" applyBorder="1" applyAlignment="1" applyProtection="1">
      <alignment horizontal="left"/>
      <protection/>
    </xf>
    <xf numFmtId="0" fontId="1" fillId="12" borderId="11" xfId="0" applyFont="1" applyFill="1" applyBorder="1" applyAlignment="1">
      <alignment/>
    </xf>
    <xf numFmtId="0" fontId="1" fillId="12" borderId="9" xfId="0" applyFont="1" applyFill="1" applyBorder="1" applyAlignment="1">
      <alignment/>
    </xf>
    <xf numFmtId="0" fontId="0" fillId="7" borderId="17" xfId="0" applyFill="1" applyBorder="1" applyAlignment="1">
      <alignment/>
    </xf>
    <xf numFmtId="0" fontId="0" fillId="7" borderId="14" xfId="0" applyFill="1" applyBorder="1" applyAlignment="1">
      <alignment/>
    </xf>
    <xf numFmtId="0" fontId="1" fillId="7" borderId="15" xfId="0" applyFont="1" applyFill="1" applyBorder="1" applyAlignment="1">
      <alignment/>
    </xf>
    <xf numFmtId="0" fontId="1" fillId="12" borderId="26" xfId="0" applyFont="1" applyFill="1" applyBorder="1" applyAlignment="1">
      <alignment/>
    </xf>
    <xf numFmtId="0" fontId="1" fillId="12" borderId="7" xfId="0" applyFont="1" applyFill="1" applyBorder="1" applyAlignment="1">
      <alignment/>
    </xf>
    <xf numFmtId="0" fontId="1" fillId="12" borderId="16" xfId="0" applyFont="1" applyFill="1" applyBorder="1" applyAlignment="1">
      <alignment/>
    </xf>
    <xf numFmtId="0" fontId="23" fillId="0" borderId="0" xfId="0" applyFont="1" applyAlignment="1">
      <alignment horizontal="left" wrapText="1"/>
    </xf>
    <xf numFmtId="0" fontId="0" fillId="0" borderId="0" xfId="0" applyNumberFormat="1" applyFont="1" applyAlignment="1">
      <alignment horizontal="left"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0" fillId="0" borderId="32" xfId="0" applyBorder="1" applyAlignment="1">
      <alignment horizontal="center"/>
    </xf>
    <xf numFmtId="0" fontId="0" fillId="0" borderId="27" xfId="0" applyBorder="1" applyAlignment="1">
      <alignment horizontal="center"/>
    </xf>
    <xf numFmtId="0" fontId="0" fillId="0" borderId="36" xfId="0" applyBorder="1" applyAlignment="1">
      <alignment horizontal="center"/>
    </xf>
    <xf numFmtId="0" fontId="0" fillId="0" borderId="20" xfId="0" applyBorder="1" applyAlignment="1">
      <alignment horizontal="center"/>
    </xf>
    <xf numFmtId="0" fontId="0" fillId="0" borderId="37" xfId="0" applyBorder="1" applyAlignment="1">
      <alignment horizontal="center"/>
    </xf>
    <xf numFmtId="0" fontId="0" fillId="0" borderId="19" xfId="0" applyBorder="1" applyAlignment="1">
      <alignment horizontal="center"/>
    </xf>
    <xf numFmtId="0" fontId="0" fillId="0" borderId="3" xfId="0" applyBorder="1" applyAlignment="1">
      <alignment horizontal="center"/>
    </xf>
    <xf numFmtId="0" fontId="23" fillId="0" borderId="0" xfId="0" applyNumberFormat="1" applyFont="1" applyAlignment="1">
      <alignment horizontal="left" wrapText="1"/>
    </xf>
    <xf numFmtId="0" fontId="23" fillId="0" borderId="1" xfId="0" applyNumberFormat="1" applyFont="1" applyBorder="1" applyAlignment="1">
      <alignment horizontal="left" wrapText="1"/>
    </xf>
    <xf numFmtId="0" fontId="23" fillId="0" borderId="0" xfId="0" applyFont="1" applyFill="1" applyAlignment="1">
      <alignment horizontal="left" wrapText="1"/>
    </xf>
    <xf numFmtId="0" fontId="4" fillId="8" borderId="0" xfId="0" applyFont="1" applyFill="1" applyAlignment="1">
      <alignment horizontal="center"/>
    </xf>
    <xf numFmtId="0" fontId="4" fillId="8" borderId="1" xfId="0" applyFont="1" applyFill="1" applyBorder="1" applyAlignment="1">
      <alignment horizontal="center"/>
    </xf>
    <xf numFmtId="0" fontId="5" fillId="8" borderId="26" xfId="0" applyFont="1" applyFill="1" applyBorder="1" applyAlignment="1">
      <alignment horizontal="center"/>
    </xf>
    <xf numFmtId="0" fontId="5" fillId="8" borderId="7" xfId="0" applyFont="1" applyFill="1" applyBorder="1" applyAlignment="1">
      <alignment horizontal="center"/>
    </xf>
    <xf numFmtId="0" fontId="5" fillId="8" borderId="16" xfId="0" applyFont="1" applyFill="1" applyBorder="1" applyAlignment="1">
      <alignment horizontal="center"/>
    </xf>
    <xf numFmtId="0" fontId="5" fillId="13" borderId="26" xfId="0" applyFont="1" applyFill="1" applyBorder="1" applyAlignment="1">
      <alignment horizontal="center"/>
    </xf>
    <xf numFmtId="0" fontId="5" fillId="13" borderId="7" xfId="0" applyFont="1" applyFill="1" applyBorder="1" applyAlignment="1">
      <alignment horizontal="center"/>
    </xf>
    <xf numFmtId="0" fontId="5" fillId="13" borderId="16" xfId="0" applyFont="1" applyFill="1" applyBorder="1" applyAlignment="1">
      <alignment horizontal="center"/>
    </xf>
    <xf numFmtId="2" fontId="5" fillId="8" borderId="10" xfId="0" applyNumberFormat="1" applyFont="1" applyFill="1" applyBorder="1" applyAlignment="1">
      <alignment horizontal="center"/>
    </xf>
    <xf numFmtId="2" fontId="5" fillId="8" borderId="8" xfId="0" applyNumberFormat="1" applyFont="1" applyFill="1" applyBorder="1" applyAlignment="1">
      <alignment horizontal="center"/>
    </xf>
    <xf numFmtId="2" fontId="5" fillId="8" borderId="17" xfId="0" applyNumberFormat="1" applyFont="1" applyFill="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2" fontId="5" fillId="0" borderId="0" xfId="0" applyNumberFormat="1" applyFont="1" applyFill="1" applyBorder="1" applyAlignment="1">
      <alignment horizontal="center"/>
    </xf>
    <xf numFmtId="178" fontId="31" fillId="0" borderId="0" xfId="0" applyNumberFormat="1" applyFont="1" applyAlignment="1" applyProtection="1">
      <alignment/>
      <protection/>
    </xf>
    <xf numFmtId="0" fontId="31" fillId="0" borderId="0" xfId="0" applyFont="1" applyAlignment="1">
      <alignment/>
    </xf>
    <xf numFmtId="0" fontId="31" fillId="0" borderId="0" xfId="0" applyFont="1" applyAlignment="1" applyProtection="1">
      <alignment/>
      <protection/>
    </xf>
    <xf numFmtId="0" fontId="32" fillId="0" borderId="0" xfId="0" applyFont="1" applyAlignment="1" applyProtection="1">
      <alignment/>
      <protection/>
    </xf>
    <xf numFmtId="178" fontId="32" fillId="0" borderId="0" xfId="0" applyNumberFormat="1" applyFont="1" applyAlignment="1" applyProtection="1">
      <alignment/>
      <protection/>
    </xf>
    <xf numFmtId="2" fontId="31" fillId="0" borderId="0" xfId="0" applyNumberFormat="1" applyFont="1" applyAlignment="1" applyProtection="1">
      <alignment/>
      <protection/>
    </xf>
    <xf numFmtId="2" fontId="31" fillId="0" borderId="0" xfId="0" applyNumberFormat="1" applyFont="1" applyAlignment="1" applyProtection="1">
      <alignment horizontal="left"/>
      <protection/>
    </xf>
    <xf numFmtId="2" fontId="32" fillId="0" borderId="0" xfId="0" applyNumberFormat="1" applyFont="1" applyAlignment="1" applyProtection="1">
      <alignment/>
      <protection/>
    </xf>
    <xf numFmtId="2" fontId="31" fillId="0" borderId="0" xfId="0" applyNumberFormat="1" applyFont="1" applyAlignment="1" applyProtection="1">
      <alignment horizontal="fill"/>
      <protection/>
    </xf>
    <xf numFmtId="2" fontId="29" fillId="0" borderId="0" xfId="0" applyNumberFormat="1" applyFont="1" applyAlignment="1" applyProtection="1">
      <alignment/>
      <protection/>
    </xf>
    <xf numFmtId="2" fontId="29" fillId="0" borderId="0" xfId="0" applyNumberFormat="1" applyFont="1" applyAlignment="1">
      <alignment/>
    </xf>
    <xf numFmtId="2" fontId="6" fillId="2" borderId="9" xfId="0" applyNumberFormat="1" applyFont="1" applyFill="1" applyBorder="1" applyAlignment="1">
      <alignment/>
    </xf>
    <xf numFmtId="173" fontId="6" fillId="2" borderId="0" xfId="0" applyNumberFormat="1" applyFont="1" applyFill="1" applyBorder="1" applyAlignment="1">
      <alignment/>
    </xf>
    <xf numFmtId="2" fontId="0" fillId="8" borderId="7" xfId="0" applyNumberFormat="1" applyFill="1" applyBorder="1" applyAlignment="1">
      <alignment/>
    </xf>
    <xf numFmtId="175" fontId="0" fillId="8" borderId="7" xfId="0" applyNumberFormat="1" applyFill="1" applyBorder="1" applyAlignment="1">
      <alignment/>
    </xf>
    <xf numFmtId="2" fontId="0" fillId="8" borderId="26" xfId="0" applyNumberFormat="1" applyFill="1" applyBorder="1" applyAlignment="1">
      <alignment/>
    </xf>
    <xf numFmtId="0" fontId="0" fillId="6" borderId="19" xfId="0" applyFill="1" applyBorder="1" applyAlignment="1">
      <alignment/>
    </xf>
    <xf numFmtId="0" fontId="2" fillId="8" borderId="0" xfId="0" applyFont="1" applyFill="1" applyAlignment="1">
      <alignment/>
    </xf>
    <xf numFmtId="0" fontId="7" fillId="8" borderId="26" xfId="0" applyFont="1" applyFill="1" applyBorder="1" applyAlignment="1">
      <alignment/>
    </xf>
    <xf numFmtId="0" fontId="7" fillId="8" borderId="7" xfId="0" applyFont="1" applyFill="1" applyBorder="1" applyAlignment="1">
      <alignment/>
    </xf>
    <xf numFmtId="0" fontId="7" fillId="8" borderId="16" xfId="0" applyFont="1" applyFill="1" applyBorder="1" applyAlignment="1">
      <alignment/>
    </xf>
    <xf numFmtId="173" fontId="6" fillId="8" borderId="7" xfId="0" applyNumberFormat="1" applyFont="1" applyFill="1" applyBorder="1" applyAlignment="1">
      <alignment/>
    </xf>
    <xf numFmtId="2" fontId="0" fillId="8" borderId="0" xfId="0" applyNumberFormat="1" applyFill="1" applyAlignment="1" quotePrefix="1">
      <alignment/>
    </xf>
    <xf numFmtId="0" fontId="0" fillId="8" borderId="19" xfId="0" applyFill="1" applyBorder="1" applyAlignment="1">
      <alignment/>
    </xf>
    <xf numFmtId="0" fontId="0" fillId="8" borderId="10" xfId="0" applyFill="1" applyBorder="1" applyAlignment="1">
      <alignment/>
    </xf>
    <xf numFmtId="0" fontId="0" fillId="8" borderId="8" xfId="0" applyFill="1" applyBorder="1" applyAlignment="1">
      <alignment/>
    </xf>
    <xf numFmtId="0" fontId="0" fillId="8" borderId="17" xfId="0" applyFill="1" applyBorder="1" applyAlignment="1">
      <alignment/>
    </xf>
    <xf numFmtId="0" fontId="0" fillId="8" borderId="30" xfId="0" applyFill="1" applyBorder="1" applyAlignment="1">
      <alignment/>
    </xf>
    <xf numFmtId="0" fontId="0" fillId="8" borderId="14" xfId="0" applyFill="1" applyBorder="1" applyAlignment="1">
      <alignment/>
    </xf>
    <xf numFmtId="0" fontId="0" fillId="8" borderId="11" xfId="0" applyFill="1" applyBorder="1" applyAlignment="1">
      <alignment/>
    </xf>
    <xf numFmtId="0" fontId="0" fillId="8" borderId="15"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78"/>
  <sheetViews>
    <sheetView showZeros="0" zoomScale="75" zoomScaleNormal="75" workbookViewId="0" topLeftCell="A5">
      <selection activeCell="B22" sqref="B22"/>
    </sheetView>
  </sheetViews>
  <sheetFormatPr defaultColWidth="9.140625" defaultRowHeight="12.75"/>
  <cols>
    <col min="1" max="1" width="26.8515625" style="0" customWidth="1"/>
    <col min="2" max="7" width="8.7109375" style="0" customWidth="1"/>
    <col min="8" max="8" width="10.00390625" style="0" customWidth="1"/>
    <col min="9" max="11" width="8.7109375" style="0" customWidth="1"/>
    <col min="12" max="12" width="9.28125" style="1" customWidth="1"/>
    <col min="13" max="13" width="1.8515625" style="33" customWidth="1"/>
    <col min="14" max="14" width="8.7109375" style="32" customWidth="1"/>
    <col min="15" max="16" width="7.7109375" style="32" customWidth="1"/>
    <col min="17" max="17" width="11.28125" style="32" customWidth="1"/>
    <col min="18" max="20" width="7.7109375" style="32" customWidth="1"/>
    <col min="21" max="21" width="11.57421875" style="32" customWidth="1"/>
    <col min="22" max="22" width="12.7109375" style="32" customWidth="1"/>
    <col min="23" max="23" width="11.28125" style="32" customWidth="1"/>
    <col min="24" max="24" width="7.7109375" style="32" customWidth="1"/>
    <col min="25" max="25" width="1.57421875" style="33" customWidth="1"/>
    <col min="26" max="26" width="8.421875" style="0" customWidth="1"/>
    <col min="27" max="28" width="7.7109375" style="127" customWidth="1"/>
    <col min="29" max="29" width="11.421875" style="127" customWidth="1"/>
    <col min="30" max="30" width="9.28125" style="127" bestFit="1" customWidth="1"/>
    <col min="31" max="32" width="7.7109375" style="127" customWidth="1"/>
    <col min="33" max="33" width="13.00390625" style="127" customWidth="1"/>
    <col min="34" max="34" width="12.57421875" style="127" customWidth="1"/>
    <col min="35" max="35" width="10.57421875" style="127" customWidth="1"/>
    <col min="36" max="37" width="7.7109375" style="127" customWidth="1"/>
    <col min="38" max="38" width="1.7109375" style="33" customWidth="1"/>
    <col min="40" max="41" width="8.7109375" style="0" customWidth="1"/>
    <col min="42" max="42" width="11.140625" style="0" customWidth="1"/>
    <col min="43" max="43" width="8.7109375" style="0" customWidth="1"/>
    <col min="44" max="44" width="4.57421875" style="0" customWidth="1"/>
    <col min="45" max="45" width="5.421875" style="0" customWidth="1"/>
    <col min="46" max="46" width="7.8515625" style="0" customWidth="1"/>
    <col min="47" max="47" width="12.00390625" style="0" customWidth="1"/>
    <col min="49" max="49" width="6.57421875" style="0" customWidth="1"/>
    <col min="50" max="50" width="7.421875" style="0" customWidth="1"/>
    <col min="51" max="51" width="6.8515625" style="0" customWidth="1"/>
    <col min="52" max="52" width="5.00390625" style="0" customWidth="1"/>
    <col min="53" max="53" width="6.421875" style="0" customWidth="1"/>
    <col min="54" max="54" width="6.8515625" style="0" customWidth="1"/>
  </cols>
  <sheetData>
    <row r="1" spans="1:51" ht="78" customHeight="1">
      <c r="A1" s="225" t="s">
        <v>132</v>
      </c>
      <c r="B1" s="338" t="s">
        <v>93</v>
      </c>
      <c r="C1" s="338"/>
      <c r="D1" s="338"/>
      <c r="E1" s="338"/>
      <c r="F1" s="338"/>
      <c r="G1" s="338"/>
      <c r="H1" s="338"/>
      <c r="I1" s="338"/>
      <c r="J1" s="338"/>
      <c r="K1" s="338"/>
      <c r="L1" s="339"/>
      <c r="N1" s="340" t="s">
        <v>101</v>
      </c>
      <c r="O1" s="340"/>
      <c r="P1" s="340"/>
      <c r="Q1" s="340"/>
      <c r="R1" s="340"/>
      <c r="S1" s="340"/>
      <c r="T1" s="340"/>
      <c r="U1" s="340"/>
      <c r="V1" s="340"/>
      <c r="W1" s="340"/>
      <c r="X1" s="340"/>
      <c r="Z1" s="327" t="s">
        <v>99</v>
      </c>
      <c r="AA1" s="327"/>
      <c r="AB1" s="327"/>
      <c r="AC1" s="327"/>
      <c r="AD1" s="327"/>
      <c r="AE1" s="327"/>
      <c r="AF1" s="327"/>
      <c r="AG1" s="327"/>
      <c r="AH1" s="327"/>
      <c r="AI1" s="327"/>
      <c r="AJ1" s="327"/>
      <c r="AK1" s="327"/>
      <c r="AM1" s="327" t="s">
        <v>133</v>
      </c>
      <c r="AN1" s="327"/>
      <c r="AO1" s="327"/>
      <c r="AP1" s="327"/>
      <c r="AQ1" s="327"/>
      <c r="AR1" s="327"/>
      <c r="AS1" s="327"/>
      <c r="AT1" s="327"/>
      <c r="AU1" s="327"/>
      <c r="AV1" s="327"/>
      <c r="AW1" s="327"/>
      <c r="AX1" s="327"/>
      <c r="AY1" s="327"/>
    </row>
    <row r="2" spans="2:52" ht="12.75" customHeight="1">
      <c r="B2" s="90"/>
      <c r="C2" s="90"/>
      <c r="D2" s="90"/>
      <c r="E2" s="90"/>
      <c r="F2" s="90"/>
      <c r="G2" s="90"/>
      <c r="H2" s="90"/>
      <c r="I2" s="90"/>
      <c r="J2" s="90"/>
      <c r="K2" s="90"/>
      <c r="L2" s="91"/>
      <c r="Z2" s="328" t="s">
        <v>103</v>
      </c>
      <c r="AA2" s="329"/>
      <c r="AB2" s="329"/>
      <c r="AC2" s="329"/>
      <c r="AD2" s="329"/>
      <c r="AE2" s="329"/>
      <c r="AF2" s="329"/>
      <c r="AG2" s="329"/>
      <c r="AH2" s="329"/>
      <c r="AI2" s="329"/>
      <c r="AJ2" s="329"/>
      <c r="AK2" s="329"/>
      <c r="AZ2" s="4" t="s">
        <v>104</v>
      </c>
    </row>
    <row r="3" spans="2:52" ht="12.75">
      <c r="B3" s="95" t="s">
        <v>86</v>
      </c>
      <c r="N3"/>
      <c r="O3" s="95" t="s">
        <v>83</v>
      </c>
      <c r="P3"/>
      <c r="Q3"/>
      <c r="R3"/>
      <c r="S3"/>
      <c r="T3"/>
      <c r="U3"/>
      <c r="V3"/>
      <c r="W3"/>
      <c r="X3"/>
      <c r="Z3" s="329"/>
      <c r="AA3" s="329"/>
      <c r="AB3" s="329"/>
      <c r="AC3" s="329"/>
      <c r="AD3" s="329"/>
      <c r="AE3" s="329"/>
      <c r="AF3" s="329"/>
      <c r="AG3" s="329"/>
      <c r="AH3" s="329"/>
      <c r="AI3" s="329"/>
      <c r="AJ3" s="329"/>
      <c r="AK3" s="329"/>
      <c r="AZ3" s="4" t="s">
        <v>105</v>
      </c>
    </row>
    <row r="4" spans="1:50" ht="15.75">
      <c r="A4" t="s">
        <v>10</v>
      </c>
      <c r="B4" s="4">
        <v>0.365</v>
      </c>
      <c r="C4" s="4"/>
      <c r="D4" s="4">
        <v>0.4</v>
      </c>
      <c r="E4" s="4">
        <v>0.46</v>
      </c>
      <c r="F4" s="4">
        <v>0.325</v>
      </c>
      <c r="G4" s="4">
        <v>1</v>
      </c>
      <c r="H4" s="4">
        <v>1</v>
      </c>
      <c r="I4" s="4">
        <v>0.32</v>
      </c>
      <c r="N4" t="s">
        <v>10</v>
      </c>
      <c r="O4" s="30">
        <v>0.45</v>
      </c>
      <c r="P4" s="30"/>
      <c r="Q4" s="30">
        <v>0.5</v>
      </c>
      <c r="R4" s="30">
        <v>0.53</v>
      </c>
      <c r="S4" s="30">
        <v>0.37</v>
      </c>
      <c r="T4" s="30">
        <v>1</v>
      </c>
      <c r="U4" s="30">
        <v>1</v>
      </c>
      <c r="V4" s="30">
        <v>0.4</v>
      </c>
      <c r="W4" s="31"/>
      <c r="X4" s="31"/>
      <c r="Z4" s="329"/>
      <c r="AA4" s="329"/>
      <c r="AB4" s="329"/>
      <c r="AC4" s="329"/>
      <c r="AD4" s="329"/>
      <c r="AE4" s="329"/>
      <c r="AF4" s="329"/>
      <c r="AG4" s="329"/>
      <c r="AH4" s="329"/>
      <c r="AI4" s="329"/>
      <c r="AJ4" s="329"/>
      <c r="AK4" s="329"/>
      <c r="AN4" s="331" t="s">
        <v>100</v>
      </c>
      <c r="AO4" s="332"/>
      <c r="AP4" s="332"/>
      <c r="AQ4" s="332"/>
      <c r="AR4" s="332"/>
      <c r="AS4" s="332"/>
      <c r="AT4" s="332"/>
      <c r="AU4" s="333"/>
      <c r="AV4" s="106" t="s">
        <v>108</v>
      </c>
      <c r="AW4" s="107"/>
      <c r="AX4" s="108"/>
    </row>
    <row r="5" spans="1:49" ht="13.5" customHeight="1">
      <c r="A5" t="s">
        <v>79</v>
      </c>
      <c r="B5" s="4">
        <v>0.33</v>
      </c>
      <c r="C5" s="4"/>
      <c r="D5" s="4">
        <v>0.38</v>
      </c>
      <c r="E5" s="4">
        <v>0.44</v>
      </c>
      <c r="F5" s="4">
        <v>0.3</v>
      </c>
      <c r="G5" s="4">
        <v>1</v>
      </c>
      <c r="H5" s="4">
        <v>1</v>
      </c>
      <c r="I5" s="4">
        <v>0.28</v>
      </c>
      <c r="N5" t="s">
        <v>79</v>
      </c>
      <c r="O5" s="30">
        <v>0.35</v>
      </c>
      <c r="P5" s="30"/>
      <c r="Q5" s="30">
        <v>0.4</v>
      </c>
      <c r="R5" s="30">
        <v>0.5</v>
      </c>
      <c r="S5" s="30">
        <v>0.32</v>
      </c>
      <c r="T5" s="30">
        <v>1</v>
      </c>
      <c r="U5" s="30">
        <v>1</v>
      </c>
      <c r="V5" s="30">
        <v>0.33</v>
      </c>
      <c r="W5" s="31"/>
      <c r="X5" s="31"/>
      <c r="Z5" s="330" t="s">
        <v>102</v>
      </c>
      <c r="AA5" s="330"/>
      <c r="AB5" s="330"/>
      <c r="AC5" s="330"/>
      <c r="AD5" s="330"/>
      <c r="AE5" s="330"/>
      <c r="AF5" s="330"/>
      <c r="AG5" s="330"/>
      <c r="AH5" s="330"/>
      <c r="AI5" s="330"/>
      <c r="AJ5" s="330"/>
      <c r="AK5" s="330"/>
      <c r="AN5" s="334" t="s">
        <v>98</v>
      </c>
      <c r="AO5" s="335"/>
      <c r="AP5" s="335"/>
      <c r="AQ5" s="335"/>
      <c r="AR5" s="335"/>
      <c r="AS5" s="335"/>
      <c r="AT5" s="335"/>
      <c r="AU5" s="335"/>
      <c r="AV5" s="336"/>
      <c r="AW5" s="337"/>
    </row>
    <row r="6" spans="1:49" ht="12.75">
      <c r="A6" t="s">
        <v>80</v>
      </c>
      <c r="B6" s="4">
        <v>0.24</v>
      </c>
      <c r="C6" s="4"/>
      <c r="D6" s="4">
        <v>0.39</v>
      </c>
      <c r="E6" s="4">
        <v>0.39</v>
      </c>
      <c r="F6" s="4">
        <v>0.4</v>
      </c>
      <c r="G6" s="4">
        <v>1</v>
      </c>
      <c r="H6" s="4">
        <v>1</v>
      </c>
      <c r="I6" s="4">
        <v>0.255</v>
      </c>
      <c r="J6" s="4">
        <v>1</v>
      </c>
      <c r="K6" s="4">
        <v>1</v>
      </c>
      <c r="N6" t="s">
        <v>80</v>
      </c>
      <c r="O6" s="30">
        <v>0.55</v>
      </c>
      <c r="P6" s="30"/>
      <c r="Q6" s="30">
        <v>0.5</v>
      </c>
      <c r="R6" s="30">
        <v>0.4</v>
      </c>
      <c r="S6" s="30">
        <v>0.5</v>
      </c>
      <c r="T6" s="30">
        <v>1</v>
      </c>
      <c r="U6" s="30">
        <v>1</v>
      </c>
      <c r="V6" s="30">
        <v>0.55</v>
      </c>
      <c r="W6" s="30">
        <v>1</v>
      </c>
      <c r="X6" s="30">
        <v>1</v>
      </c>
      <c r="Z6" s="330"/>
      <c r="AA6" s="330"/>
      <c r="AB6" s="330"/>
      <c r="AC6" s="330"/>
      <c r="AD6" s="330"/>
      <c r="AE6" s="330"/>
      <c r="AF6" s="330"/>
      <c r="AG6" s="330"/>
      <c r="AH6" s="330"/>
      <c r="AI6" s="330"/>
      <c r="AJ6" s="330"/>
      <c r="AK6" s="330"/>
      <c r="AN6" s="23">
        <v>3.8579499999999998</v>
      </c>
      <c r="AO6" s="23">
        <v>3.1269699999999996</v>
      </c>
      <c r="AP6" s="23">
        <v>3.1269699999999996</v>
      </c>
      <c r="AQ6" s="23">
        <v>2.2741599999999997</v>
      </c>
      <c r="AR6" s="23"/>
      <c r="AS6" s="23"/>
      <c r="AT6" s="23"/>
      <c r="AU6" s="23">
        <v>4.79198</v>
      </c>
      <c r="AV6" s="4">
        <f>(AA22*AN6+AC22*AP6+AD22*AQ6+AH22*AU6)/(-AI22)</f>
        <v>4.008354976532872</v>
      </c>
      <c r="AW6" s="4"/>
    </row>
    <row r="7" spans="1:49" ht="12.75">
      <c r="A7" t="s">
        <v>12</v>
      </c>
      <c r="B7" s="4">
        <v>0.86</v>
      </c>
      <c r="C7" s="4"/>
      <c r="D7" s="4">
        <v>0.95</v>
      </c>
      <c r="E7" s="4">
        <v>0.95</v>
      </c>
      <c r="F7" s="4"/>
      <c r="G7" s="4"/>
      <c r="H7" s="4">
        <v>1</v>
      </c>
      <c r="I7" s="4">
        <v>0.85</v>
      </c>
      <c r="J7" s="4">
        <v>1</v>
      </c>
      <c r="K7" s="4">
        <v>1</v>
      </c>
      <c r="N7" t="s">
        <v>12</v>
      </c>
      <c r="O7" s="30">
        <v>1</v>
      </c>
      <c r="P7" s="30"/>
      <c r="Q7" s="30">
        <v>1</v>
      </c>
      <c r="R7" s="30">
        <v>1</v>
      </c>
      <c r="S7" s="30"/>
      <c r="T7" s="30">
        <v>1</v>
      </c>
      <c r="U7" s="30">
        <v>1</v>
      </c>
      <c r="V7" s="30">
        <v>1</v>
      </c>
      <c r="W7" s="30">
        <v>1</v>
      </c>
      <c r="X7" s="30">
        <v>1</v>
      </c>
      <c r="Z7" s="330"/>
      <c r="AA7" s="330"/>
      <c r="AB7" s="330"/>
      <c r="AC7" s="330"/>
      <c r="AD7" s="330"/>
      <c r="AE7" s="330"/>
      <c r="AF7" s="330"/>
      <c r="AG7" s="330"/>
      <c r="AH7" s="330"/>
      <c r="AI7" s="330"/>
      <c r="AJ7" s="330"/>
      <c r="AK7" s="330"/>
      <c r="AU7" s="23">
        <v>4.79198</v>
      </c>
      <c r="AV7" s="4">
        <f>(AA23*AN6+AC23*AP6+AD23*AQ6+AH23*AU6)/(-AI23-AJ23)</f>
        <v>4.721201768103882</v>
      </c>
      <c r="AW7" s="4">
        <f>(AA23*AN6+AB23*AO6+AC23*AP6+AD23*AQ6+AH23*AU6)/(-AJ23-AI23)</f>
        <v>4.721201768103882</v>
      </c>
    </row>
    <row r="8" spans="1:49" ht="19.5" thickBot="1">
      <c r="A8" s="341" t="s">
        <v>109</v>
      </c>
      <c r="B8" s="341"/>
      <c r="C8" s="341"/>
      <c r="D8" s="341"/>
      <c r="E8" s="341"/>
      <c r="F8" s="341"/>
      <c r="G8" s="341"/>
      <c r="H8" s="341"/>
      <c r="I8" s="341"/>
      <c r="J8" s="341"/>
      <c r="K8" s="341"/>
      <c r="L8" s="342"/>
      <c r="Z8" s="352" t="s">
        <v>117</v>
      </c>
      <c r="AA8" s="352"/>
      <c r="AB8" s="352"/>
      <c r="AC8" s="352"/>
      <c r="AD8" s="352"/>
      <c r="AE8" s="352"/>
      <c r="AF8" s="352"/>
      <c r="AG8" s="352"/>
      <c r="AH8" s="352"/>
      <c r="AI8" s="352"/>
      <c r="AJ8" s="352"/>
      <c r="AK8" s="353"/>
      <c r="AM8" s="154"/>
      <c r="AN8" s="155" t="s">
        <v>124</v>
      </c>
      <c r="AO8" s="156">
        <f>100*(AF19+AG19+AH19)/AK19</f>
        <v>8.618059626091123</v>
      </c>
      <c r="AP8" s="154" t="s">
        <v>125</v>
      </c>
      <c r="AQ8" s="224" t="s">
        <v>126</v>
      </c>
      <c r="AS8" s="156">
        <f>100*(AE19+AF19+AG19)/AK19</f>
        <v>15.82616624745383</v>
      </c>
      <c r="AT8" s="154" t="s">
        <v>125</v>
      </c>
      <c r="AU8" s="154"/>
      <c r="AV8" s="4"/>
      <c r="AW8" s="4">
        <f>(AA24*AN6+AB24*AO6+AC24*AP6+AD24*AQ6+AH24*AU6)/(-AJ24)</f>
        <v>3.895579681162853</v>
      </c>
    </row>
    <row r="9" spans="1:54" ht="19.5" thickBot="1">
      <c r="A9" s="343" t="s">
        <v>77</v>
      </c>
      <c r="B9" s="344"/>
      <c r="C9" s="344"/>
      <c r="D9" s="344"/>
      <c r="E9" s="344"/>
      <c r="F9" s="344"/>
      <c r="G9" s="344"/>
      <c r="H9" s="344"/>
      <c r="I9" s="344"/>
      <c r="J9" s="344"/>
      <c r="K9" s="344"/>
      <c r="L9" s="345"/>
      <c r="N9" s="346" t="s">
        <v>113</v>
      </c>
      <c r="O9" s="347"/>
      <c r="P9" s="347"/>
      <c r="Q9" s="347"/>
      <c r="R9" s="347"/>
      <c r="S9" s="347"/>
      <c r="T9" s="347"/>
      <c r="U9" s="347"/>
      <c r="V9" s="347"/>
      <c r="W9" s="347"/>
      <c r="X9" s="347"/>
      <c r="Y9" s="48"/>
      <c r="Z9" s="346" t="s">
        <v>77</v>
      </c>
      <c r="AA9" s="347"/>
      <c r="AB9" s="347"/>
      <c r="AC9" s="347"/>
      <c r="AD9" s="347"/>
      <c r="AE9" s="347"/>
      <c r="AF9" s="347"/>
      <c r="AG9" s="347"/>
      <c r="AH9" s="347"/>
      <c r="AI9" s="347"/>
      <c r="AJ9" s="347"/>
      <c r="AK9" s="348"/>
      <c r="AM9" s="346" t="s">
        <v>85</v>
      </c>
      <c r="AN9" s="347"/>
      <c r="AO9" s="347"/>
      <c r="AP9" s="347"/>
      <c r="AQ9" s="347"/>
      <c r="AR9" s="347"/>
      <c r="AS9" s="347"/>
      <c r="AT9" s="347"/>
      <c r="AU9" s="347"/>
      <c r="AV9" s="347"/>
      <c r="AW9" s="347"/>
      <c r="AX9" s="347"/>
      <c r="AY9" s="347"/>
      <c r="AZ9" s="347"/>
      <c r="BA9" s="347"/>
      <c r="BB9" s="348"/>
    </row>
    <row r="10" spans="1:54" ht="12.75">
      <c r="A10" s="56" t="s">
        <v>0</v>
      </c>
      <c r="B10" s="57" t="s">
        <v>60</v>
      </c>
      <c r="C10" s="57" t="s">
        <v>61</v>
      </c>
      <c r="D10" s="58" t="s">
        <v>70</v>
      </c>
      <c r="E10" s="57" t="s">
        <v>62</v>
      </c>
      <c r="F10" s="57" t="s">
        <v>63</v>
      </c>
      <c r="G10" s="57" t="s">
        <v>64</v>
      </c>
      <c r="H10" s="58" t="s">
        <v>65</v>
      </c>
      <c r="I10" s="58" t="s">
        <v>66</v>
      </c>
      <c r="J10" s="58" t="s">
        <v>67</v>
      </c>
      <c r="K10" s="57" t="s">
        <v>68</v>
      </c>
      <c r="L10" s="59" t="s">
        <v>69</v>
      </c>
      <c r="N10" s="101" t="s">
        <v>91</v>
      </c>
      <c r="O10" s="102" t="s">
        <v>60</v>
      </c>
      <c r="P10" s="102" t="s">
        <v>61</v>
      </c>
      <c r="Q10" s="100" t="s">
        <v>70</v>
      </c>
      <c r="R10" s="102" t="s">
        <v>62</v>
      </c>
      <c r="S10" s="102" t="s">
        <v>63</v>
      </c>
      <c r="T10" s="102" t="s">
        <v>64</v>
      </c>
      <c r="U10" s="100" t="s">
        <v>65</v>
      </c>
      <c r="V10" s="100" t="s">
        <v>94</v>
      </c>
      <c r="W10" s="100" t="s">
        <v>67</v>
      </c>
      <c r="X10" s="102" t="s">
        <v>68</v>
      </c>
      <c r="Y10" s="34" t="s">
        <v>69</v>
      </c>
      <c r="Z10" s="101" t="s">
        <v>91</v>
      </c>
      <c r="AA10" s="125" t="s">
        <v>60</v>
      </c>
      <c r="AB10" s="125" t="s">
        <v>61</v>
      </c>
      <c r="AC10" s="132" t="s">
        <v>70</v>
      </c>
      <c r="AD10" s="125" t="s">
        <v>62</v>
      </c>
      <c r="AE10" s="125" t="s">
        <v>63</v>
      </c>
      <c r="AF10" s="125" t="s">
        <v>64</v>
      </c>
      <c r="AG10" s="132" t="s">
        <v>65</v>
      </c>
      <c r="AH10" s="132" t="s">
        <v>94</v>
      </c>
      <c r="AI10" s="132" t="s">
        <v>67</v>
      </c>
      <c r="AJ10" s="125" t="s">
        <v>68</v>
      </c>
      <c r="AK10" s="129" t="s">
        <v>69</v>
      </c>
      <c r="AM10" s="25" t="s">
        <v>0</v>
      </c>
      <c r="AN10" s="18" t="s">
        <v>60</v>
      </c>
      <c r="AO10" s="18" t="s">
        <v>61</v>
      </c>
      <c r="AP10" s="20" t="s">
        <v>70</v>
      </c>
      <c r="AQ10" s="18" t="s">
        <v>62</v>
      </c>
      <c r="AR10" s="184" t="s">
        <v>63</v>
      </c>
      <c r="AS10" s="184" t="s">
        <v>64</v>
      </c>
      <c r="AT10" s="185" t="s">
        <v>65</v>
      </c>
      <c r="AU10" s="20" t="s">
        <v>94</v>
      </c>
      <c r="AV10" s="20" t="s">
        <v>67</v>
      </c>
      <c r="AW10" s="18" t="s">
        <v>68</v>
      </c>
      <c r="AX10" s="18" t="s">
        <v>69</v>
      </c>
      <c r="AY10" s="20" t="s">
        <v>69</v>
      </c>
      <c r="AZ10" s="178"/>
      <c r="BA10" s="18" t="s">
        <v>69</v>
      </c>
      <c r="BB10" s="179"/>
    </row>
    <row r="11" spans="1:54" ht="13.5" thickBot="1">
      <c r="A11" s="60" t="s">
        <v>1</v>
      </c>
      <c r="B11" s="61" t="s">
        <v>59</v>
      </c>
      <c r="C11" s="61" t="s">
        <v>71</v>
      </c>
      <c r="D11" s="62" t="s">
        <v>72</v>
      </c>
      <c r="E11" s="61"/>
      <c r="F11" s="61"/>
      <c r="G11" s="61"/>
      <c r="H11" s="62" t="s">
        <v>74</v>
      </c>
      <c r="I11" s="62" t="s">
        <v>73</v>
      </c>
      <c r="J11" s="62"/>
      <c r="K11" s="61"/>
      <c r="L11" s="63"/>
      <c r="N11" s="2" t="s">
        <v>92</v>
      </c>
      <c r="O11" s="19" t="s">
        <v>59</v>
      </c>
      <c r="P11" s="19" t="s">
        <v>71</v>
      </c>
      <c r="Q11" s="21" t="s">
        <v>72</v>
      </c>
      <c r="R11" s="19"/>
      <c r="S11" s="19"/>
      <c r="T11" s="19"/>
      <c r="U11" s="21" t="s">
        <v>74</v>
      </c>
      <c r="V11" s="103" t="s">
        <v>95</v>
      </c>
      <c r="W11" s="21"/>
      <c r="X11" s="19"/>
      <c r="Y11" s="35"/>
      <c r="Z11" s="2" t="s">
        <v>92</v>
      </c>
      <c r="AA11" s="126" t="s">
        <v>59</v>
      </c>
      <c r="AB11" s="126" t="s">
        <v>71</v>
      </c>
      <c r="AC11" s="133" t="s">
        <v>72</v>
      </c>
      <c r="AD11" s="126"/>
      <c r="AE11" s="126"/>
      <c r="AF11" s="126"/>
      <c r="AG11" s="133" t="s">
        <v>74</v>
      </c>
      <c r="AH11" s="134" t="s">
        <v>95</v>
      </c>
      <c r="AI11" s="133"/>
      <c r="AJ11" s="126"/>
      <c r="AK11" s="130"/>
      <c r="AM11" s="26" t="s">
        <v>1</v>
      </c>
      <c r="AN11" s="19" t="s">
        <v>59</v>
      </c>
      <c r="AO11" s="19" t="s">
        <v>71</v>
      </c>
      <c r="AP11" s="21" t="s">
        <v>72</v>
      </c>
      <c r="AQ11" s="19"/>
      <c r="AR11" s="186"/>
      <c r="AS11" s="186"/>
      <c r="AT11" s="174" t="s">
        <v>74</v>
      </c>
      <c r="AU11" s="174" t="s">
        <v>95</v>
      </c>
      <c r="AV11" s="21"/>
      <c r="AW11" s="19"/>
      <c r="AX11" s="19"/>
      <c r="AY11" s="182"/>
      <c r="AZ11" s="180"/>
      <c r="BA11" s="19" t="s">
        <v>81</v>
      </c>
      <c r="BB11" s="181"/>
    </row>
    <row r="12" spans="1:37" ht="12.75">
      <c r="A12" s="64" t="s">
        <v>2</v>
      </c>
      <c r="B12" s="65">
        <v>188.71</v>
      </c>
      <c r="C12" s="65">
        <v>236.95</v>
      </c>
      <c r="D12" s="65"/>
      <c r="E12" s="65">
        <v>236.63</v>
      </c>
      <c r="F12" s="65">
        <v>241.26</v>
      </c>
      <c r="G12" s="65">
        <v>42.79</v>
      </c>
      <c r="H12" s="65">
        <v>20.92</v>
      </c>
      <c r="I12" s="65">
        <v>99.58</v>
      </c>
      <c r="J12" s="65"/>
      <c r="K12" s="65">
        <v>0.45</v>
      </c>
      <c r="L12" s="71">
        <v>1067.29</v>
      </c>
      <c r="N12" s="3" t="s">
        <v>2</v>
      </c>
      <c r="O12" s="30">
        <v>1</v>
      </c>
      <c r="P12" s="30">
        <v>1</v>
      </c>
      <c r="Q12" s="30">
        <v>1</v>
      </c>
      <c r="R12" s="30">
        <v>1</v>
      </c>
      <c r="S12" s="30">
        <v>1</v>
      </c>
      <c r="T12" s="30">
        <v>1</v>
      </c>
      <c r="U12" s="30">
        <v>1</v>
      </c>
      <c r="V12" s="30">
        <v>1</v>
      </c>
      <c r="W12" s="30">
        <v>1</v>
      </c>
      <c r="X12" s="30">
        <v>1</v>
      </c>
      <c r="Y12" s="36"/>
      <c r="Z12" s="3" t="s">
        <v>2</v>
      </c>
      <c r="AA12" s="209">
        <f aca="true" t="shared" si="0" ref="AA12:AB14">O12*B12</f>
        <v>188.71</v>
      </c>
      <c r="AB12" s="209">
        <f t="shared" si="0"/>
        <v>236.95</v>
      </c>
      <c r="AC12" s="209"/>
      <c r="AD12" s="209">
        <f>R12*E12</f>
        <v>236.63</v>
      </c>
      <c r="AE12" s="209">
        <f>S12*F12</f>
        <v>241.26</v>
      </c>
      <c r="AF12" s="209">
        <f>T12*G12</f>
        <v>42.79</v>
      </c>
      <c r="AG12" s="209">
        <f>U12*H12</f>
        <v>20.92</v>
      </c>
      <c r="AH12" s="209">
        <f>V12*I12</f>
        <v>99.58</v>
      </c>
      <c r="AI12" s="209"/>
      <c r="AJ12" s="209">
        <f>X12*K12</f>
        <v>0.45</v>
      </c>
      <c r="AK12" s="215">
        <f>SUM(AA12:AJ12)</f>
        <v>1067.29</v>
      </c>
    </row>
    <row r="13" spans="1:54" ht="18.75">
      <c r="A13" s="64" t="s">
        <v>5</v>
      </c>
      <c r="B13" s="65">
        <v>174.45</v>
      </c>
      <c r="C13" s="65">
        <v>657.1</v>
      </c>
      <c r="D13" s="65">
        <v>299.21</v>
      </c>
      <c r="E13" s="65">
        <v>347.42</v>
      </c>
      <c r="F13" s="65"/>
      <c r="G13" s="65"/>
      <c r="H13" s="65"/>
      <c r="I13" s="65">
        <v>4.21</v>
      </c>
      <c r="J13" s="65">
        <v>29.03</v>
      </c>
      <c r="K13" s="65"/>
      <c r="L13" s="71">
        <v>1511.43</v>
      </c>
      <c r="N13" s="3" t="s">
        <v>5</v>
      </c>
      <c r="O13" s="30">
        <v>1</v>
      </c>
      <c r="P13" s="30">
        <v>1</v>
      </c>
      <c r="Q13" s="30">
        <v>1</v>
      </c>
      <c r="R13" s="30">
        <v>1</v>
      </c>
      <c r="S13" s="30">
        <v>1</v>
      </c>
      <c r="T13" s="30">
        <v>1</v>
      </c>
      <c r="U13" s="30">
        <v>1</v>
      </c>
      <c r="V13" s="30">
        <v>1</v>
      </c>
      <c r="W13" s="30">
        <v>1</v>
      </c>
      <c r="X13" s="30">
        <v>1</v>
      </c>
      <c r="Y13" s="36"/>
      <c r="Z13" s="3" t="s">
        <v>5</v>
      </c>
      <c r="AA13" s="209">
        <f t="shared" si="0"/>
        <v>174.45</v>
      </c>
      <c r="AB13" s="209">
        <f t="shared" si="0"/>
        <v>657.1</v>
      </c>
      <c r="AC13" s="209">
        <f>Q13*D13</f>
        <v>299.21</v>
      </c>
      <c r="AD13" s="209">
        <f>R13*E13</f>
        <v>347.42</v>
      </c>
      <c r="AE13" s="209"/>
      <c r="AF13" s="209"/>
      <c r="AG13" s="209"/>
      <c r="AH13" s="209">
        <f>V13*I13</f>
        <v>4.21</v>
      </c>
      <c r="AI13" s="209">
        <f>W13*J13</f>
        <v>29.03</v>
      </c>
      <c r="AJ13" s="209"/>
      <c r="AK13" s="215">
        <f aca="true" t="shared" si="1" ref="AK13:AK74">SUM(AA13:AJ13)</f>
        <v>1511.42</v>
      </c>
      <c r="AM13" s="104" t="s">
        <v>106</v>
      </c>
      <c r="AN13" s="105"/>
      <c r="AO13" s="105"/>
      <c r="AP13" s="105"/>
      <c r="AQ13" s="105"/>
      <c r="AR13" s="105"/>
      <c r="AS13" s="105"/>
      <c r="AT13" s="105"/>
      <c r="AU13" s="105"/>
      <c r="AV13" s="105"/>
      <c r="AW13" s="105"/>
      <c r="AX13" s="105"/>
      <c r="AY13" s="105"/>
      <c r="AZ13" s="171"/>
      <c r="BA13" s="171"/>
      <c r="BB13" s="171"/>
    </row>
    <row r="14" spans="1:53" ht="17.25" thickBot="1">
      <c r="A14" s="64" t="s">
        <v>6</v>
      </c>
      <c r="B14" s="65">
        <v>-32.74</v>
      </c>
      <c r="C14" s="65">
        <v>-173.64</v>
      </c>
      <c r="D14" s="65">
        <v>-287.97</v>
      </c>
      <c r="E14" s="65">
        <v>-140.82</v>
      </c>
      <c r="F14" s="65"/>
      <c r="G14" s="65"/>
      <c r="H14" s="65"/>
      <c r="I14" s="65">
        <v>-1.31</v>
      </c>
      <c r="J14" s="65">
        <v>-28.69</v>
      </c>
      <c r="K14" s="65">
        <v>-0.01</v>
      </c>
      <c r="L14" s="71">
        <v>-665.18</v>
      </c>
      <c r="N14" s="3" t="s">
        <v>6</v>
      </c>
      <c r="O14" s="30">
        <v>1</v>
      </c>
      <c r="P14" s="30">
        <v>1</v>
      </c>
      <c r="Q14" s="30">
        <v>1</v>
      </c>
      <c r="R14" s="30">
        <v>1</v>
      </c>
      <c r="S14" s="30">
        <v>1</v>
      </c>
      <c r="T14" s="30">
        <v>1</v>
      </c>
      <c r="U14" s="30">
        <v>1</v>
      </c>
      <c r="V14" s="30">
        <v>1</v>
      </c>
      <c r="W14" s="30">
        <v>1</v>
      </c>
      <c r="X14" s="30">
        <v>1</v>
      </c>
      <c r="Y14" s="36"/>
      <c r="Z14" s="3" t="s">
        <v>6</v>
      </c>
      <c r="AA14" s="209">
        <f t="shared" si="0"/>
        <v>-32.74</v>
      </c>
      <c r="AB14" s="209">
        <f t="shared" si="0"/>
        <v>-173.64</v>
      </c>
      <c r="AC14" s="209">
        <f>Q14*D14</f>
        <v>-287.97</v>
      </c>
      <c r="AD14" s="209">
        <f>R14*E14</f>
        <v>-140.82</v>
      </c>
      <c r="AE14" s="209"/>
      <c r="AF14" s="209"/>
      <c r="AG14" s="209"/>
      <c r="AH14" s="209">
        <f>V14*I14</f>
        <v>-1.31</v>
      </c>
      <c r="AI14" s="209">
        <f>W14*J14</f>
        <v>-28.69</v>
      </c>
      <c r="AJ14" s="209">
        <f>X14*K14</f>
        <v>-0.01</v>
      </c>
      <c r="AK14" s="215">
        <f t="shared" si="1"/>
        <v>-665.1800000000001</v>
      </c>
      <c r="AM14" s="29" t="s">
        <v>107</v>
      </c>
      <c r="AN14" s="136">
        <f>B18*AN6</f>
        <v>1300.9007399999998</v>
      </c>
      <c r="AO14" s="136">
        <f>C18*AO6</f>
        <v>2252.7317273999997</v>
      </c>
      <c r="AP14" s="136">
        <f>D18*AP6</f>
        <v>43.777579999999844</v>
      </c>
      <c r="AQ14" s="136">
        <f>E18*AQ6</f>
        <v>1018.2096568</v>
      </c>
      <c r="AR14" s="136"/>
      <c r="AS14" s="137"/>
      <c r="AT14" s="137"/>
      <c r="AU14" s="136">
        <f>I18*AU6</f>
        <v>490.74667179999994</v>
      </c>
      <c r="AV14" s="137"/>
      <c r="AW14" s="137"/>
      <c r="AY14" s="138">
        <f>SUM(AN14:AU14)</f>
        <v>5106.366375999999</v>
      </c>
      <c r="BA14" s="138">
        <f>SUM(AN14:AQ14)</f>
        <v>4615.619704199999</v>
      </c>
    </row>
    <row r="15" spans="1:54" ht="16.5">
      <c r="A15" s="3" t="s">
        <v>3</v>
      </c>
      <c r="B15" s="65">
        <v>0</v>
      </c>
      <c r="C15" s="65"/>
      <c r="D15" s="151" t="s">
        <v>115</v>
      </c>
      <c r="E15" s="65"/>
      <c r="F15" s="65"/>
      <c r="G15" s="65"/>
      <c r="H15" s="65"/>
      <c r="I15" s="65"/>
      <c r="J15" s="65"/>
      <c r="K15" s="65"/>
      <c r="L15" s="5"/>
      <c r="N15" s="3" t="s">
        <v>3</v>
      </c>
      <c r="O15" s="30">
        <v>1</v>
      </c>
      <c r="P15" s="30">
        <v>1</v>
      </c>
      <c r="Q15" s="30">
        <v>1</v>
      </c>
      <c r="R15" s="30">
        <v>1</v>
      </c>
      <c r="S15" s="30">
        <v>1</v>
      </c>
      <c r="T15" s="30">
        <v>1</v>
      </c>
      <c r="U15" s="30">
        <v>1</v>
      </c>
      <c r="V15" s="30">
        <v>1</v>
      </c>
      <c r="W15" s="30">
        <v>1</v>
      </c>
      <c r="X15" s="30">
        <v>1</v>
      </c>
      <c r="Y15" s="36"/>
      <c r="Z15" s="3" t="s">
        <v>3</v>
      </c>
      <c r="AA15" s="209"/>
      <c r="AB15" s="209"/>
      <c r="AC15" s="209"/>
      <c r="AD15" s="209"/>
      <c r="AE15" s="209"/>
      <c r="AF15" s="209"/>
      <c r="AG15" s="209"/>
      <c r="AH15" s="209"/>
      <c r="AI15" s="209"/>
      <c r="AJ15" s="209"/>
      <c r="AK15" s="215">
        <f t="shared" si="1"/>
        <v>0</v>
      </c>
      <c r="AM15" s="28" t="s">
        <v>114</v>
      </c>
      <c r="AN15" s="139"/>
      <c r="AO15" s="139"/>
      <c r="AP15" s="139"/>
      <c r="AQ15" s="139"/>
      <c r="AR15" s="139"/>
      <c r="AS15" s="140"/>
      <c r="AT15" s="140"/>
      <c r="AU15" s="140"/>
      <c r="AV15" s="140"/>
      <c r="AW15" s="140"/>
      <c r="AX15" s="140"/>
      <c r="AY15" s="172"/>
      <c r="AZ15" s="172"/>
      <c r="BA15" s="141">
        <f>0.8*BA14</f>
        <v>3692.4957633599997</v>
      </c>
      <c r="BB15" s="172"/>
    </row>
    <row r="16" spans="1:54" ht="16.5">
      <c r="A16" s="3" t="s">
        <v>128</v>
      </c>
      <c r="B16" s="65"/>
      <c r="C16" s="65"/>
      <c r="D16" s="151" t="s">
        <v>116</v>
      </c>
      <c r="E16" s="65"/>
      <c r="F16" s="65"/>
      <c r="G16" s="65"/>
      <c r="H16" s="65"/>
      <c r="I16" s="65"/>
      <c r="J16" s="65"/>
      <c r="K16" s="65"/>
      <c r="L16" s="5"/>
      <c r="N16" s="3" t="s">
        <v>4</v>
      </c>
      <c r="O16" s="30">
        <v>1</v>
      </c>
      <c r="P16" s="30">
        <v>1</v>
      </c>
      <c r="Q16" s="30">
        <v>1</v>
      </c>
      <c r="R16" s="30">
        <v>1</v>
      </c>
      <c r="S16" s="30">
        <v>1</v>
      </c>
      <c r="T16" s="30">
        <v>1</v>
      </c>
      <c r="U16" s="30">
        <v>1</v>
      </c>
      <c r="V16" s="30">
        <v>1</v>
      </c>
      <c r="W16" s="30">
        <v>1</v>
      </c>
      <c r="X16" s="30">
        <v>1</v>
      </c>
      <c r="Y16" s="36"/>
      <c r="Z16" s="3" t="s">
        <v>4</v>
      </c>
      <c r="AA16" s="209"/>
      <c r="AB16" s="209"/>
      <c r="AC16" s="209"/>
      <c r="AD16" s="209"/>
      <c r="AE16" s="209"/>
      <c r="AF16" s="209"/>
      <c r="AG16" s="209"/>
      <c r="AH16" s="209"/>
      <c r="AI16" s="209"/>
      <c r="AJ16" s="209"/>
      <c r="AK16" s="215">
        <f t="shared" si="1"/>
        <v>0</v>
      </c>
      <c r="AM16" s="175" t="s">
        <v>84</v>
      </c>
      <c r="AN16" s="176">
        <f>AA18*AN$6</f>
        <v>1300.9007399999996</v>
      </c>
      <c r="AO16" s="176">
        <f>AB18*AO$6</f>
        <v>2252.7317273999997</v>
      </c>
      <c r="AP16" s="176">
        <f>AC18*AP$6</f>
        <v>43.777579999999844</v>
      </c>
      <c r="AQ16" s="176">
        <f>AD18*AQ$6</f>
        <v>1018.2096567999998</v>
      </c>
      <c r="AR16" s="176"/>
      <c r="AS16" s="176"/>
      <c r="AT16" s="176"/>
      <c r="AU16" s="176">
        <f>AH18*AU$6</f>
        <v>490.6987519999999</v>
      </c>
      <c r="AV16" s="176"/>
      <c r="AW16" s="176"/>
      <c r="AY16" s="177">
        <f>SUM(AN16:AU16)</f>
        <v>5106.3184562</v>
      </c>
      <c r="AZ16" s="124"/>
      <c r="BA16" s="177">
        <f>SUM(AN16:AQ16)</f>
        <v>4615.619704199999</v>
      </c>
      <c r="BB16" s="124"/>
    </row>
    <row r="17" spans="1:54" ht="15.75" thickBot="1">
      <c r="A17" s="64" t="s">
        <v>7</v>
      </c>
      <c r="B17" s="65">
        <v>6.78</v>
      </c>
      <c r="C17" s="65">
        <v>0.01</v>
      </c>
      <c r="D17" s="65">
        <v>2.76</v>
      </c>
      <c r="E17" s="65">
        <v>4.5</v>
      </c>
      <c r="F17" s="65"/>
      <c r="G17" s="65"/>
      <c r="H17" s="65"/>
      <c r="I17" s="65">
        <v>-0.08</v>
      </c>
      <c r="J17" s="65"/>
      <c r="K17" s="65"/>
      <c r="L17" s="71">
        <v>13.97</v>
      </c>
      <c r="N17" s="3" t="s">
        <v>7</v>
      </c>
      <c r="O17" s="30">
        <v>1</v>
      </c>
      <c r="P17" s="30">
        <v>1</v>
      </c>
      <c r="Q17" s="30">
        <v>1</v>
      </c>
      <c r="R17" s="30">
        <v>1</v>
      </c>
      <c r="S17" s="30">
        <v>1</v>
      </c>
      <c r="T17" s="30">
        <v>1</v>
      </c>
      <c r="U17" s="30">
        <v>1</v>
      </c>
      <c r="V17" s="30">
        <v>1</v>
      </c>
      <c r="W17" s="30">
        <v>1</v>
      </c>
      <c r="X17" s="30">
        <v>1</v>
      </c>
      <c r="Y17" s="36"/>
      <c r="Z17" s="3" t="s">
        <v>7</v>
      </c>
      <c r="AA17" s="209">
        <f>O17*B17</f>
        <v>6.78</v>
      </c>
      <c r="AB17" s="209">
        <f>P17*C17</f>
        <v>0.01</v>
      </c>
      <c r="AC17" s="209">
        <f>Q17*D17</f>
        <v>2.76</v>
      </c>
      <c r="AD17" s="209">
        <f>R17*E17</f>
        <v>4.5</v>
      </c>
      <c r="AE17" s="209"/>
      <c r="AF17" s="209"/>
      <c r="AG17" s="209"/>
      <c r="AH17" s="209">
        <f>V17*I17</f>
        <v>-0.08</v>
      </c>
      <c r="AI17" s="209"/>
      <c r="AJ17" s="209"/>
      <c r="AK17" s="215">
        <f t="shared" si="1"/>
        <v>13.97</v>
      </c>
      <c r="AM17" s="27" t="s">
        <v>82</v>
      </c>
      <c r="AN17" s="142"/>
      <c r="AO17" s="142"/>
      <c r="AP17" s="142"/>
      <c r="AQ17" s="142"/>
      <c r="AR17" s="142"/>
      <c r="AS17" s="142"/>
      <c r="AT17" s="142"/>
      <c r="AU17" s="142"/>
      <c r="AV17" s="142"/>
      <c r="AW17" s="142"/>
      <c r="AX17" s="142"/>
      <c r="AY17" s="143">
        <f>BA16-BA15</f>
        <v>923.1239408399997</v>
      </c>
      <c r="AZ17" s="173"/>
      <c r="BA17" s="173"/>
      <c r="BB17" s="173"/>
    </row>
    <row r="18" spans="1:51" s="14" customFormat="1" ht="15.75" thickBot="1">
      <c r="A18" s="66" t="s">
        <v>8</v>
      </c>
      <c r="B18" s="67">
        <v>337.2</v>
      </c>
      <c r="C18" s="67">
        <v>720.42</v>
      </c>
      <c r="D18" s="128">
        <f>SUM(D12:D17)</f>
        <v>13.999999999999952</v>
      </c>
      <c r="E18" s="67">
        <v>447.73</v>
      </c>
      <c r="F18" s="67">
        <v>241.26</v>
      </c>
      <c r="G18" s="67">
        <v>42.79</v>
      </c>
      <c r="H18" s="67">
        <v>20.92</v>
      </c>
      <c r="I18" s="67">
        <v>102.41</v>
      </c>
      <c r="J18" s="67">
        <v>0.34</v>
      </c>
      <c r="K18" s="67">
        <v>0.44</v>
      </c>
      <c r="L18" s="68">
        <v>1927.5</v>
      </c>
      <c r="M18" s="38"/>
      <c r="N18" s="12" t="s">
        <v>75</v>
      </c>
      <c r="O18" s="13"/>
      <c r="P18" s="13"/>
      <c r="Q18" s="13"/>
      <c r="R18" s="13"/>
      <c r="S18" s="13"/>
      <c r="T18" s="13"/>
      <c r="U18" s="13"/>
      <c r="V18" s="13"/>
      <c r="W18" s="13"/>
      <c r="X18" s="13"/>
      <c r="Y18" s="37"/>
      <c r="Z18" s="12" t="s">
        <v>75</v>
      </c>
      <c r="AA18" s="128">
        <f>SUM(AA12:AA17)</f>
        <v>337.19999999999993</v>
      </c>
      <c r="AB18" s="128">
        <f aca="true" t="shared" si="2" ref="AB18:AK18">SUM(AB12:AB17)</f>
        <v>720.42</v>
      </c>
      <c r="AC18" s="128">
        <f t="shared" si="2"/>
        <v>13.999999999999952</v>
      </c>
      <c r="AD18" s="128">
        <f t="shared" si="2"/>
        <v>447.72999999999996</v>
      </c>
      <c r="AE18" s="128">
        <f t="shared" si="2"/>
        <v>241.26</v>
      </c>
      <c r="AF18" s="128">
        <f t="shared" si="2"/>
        <v>42.79</v>
      </c>
      <c r="AG18" s="128">
        <f t="shared" si="2"/>
        <v>20.92</v>
      </c>
      <c r="AH18" s="128">
        <f t="shared" si="2"/>
        <v>102.39999999999999</v>
      </c>
      <c r="AI18" s="128">
        <f t="shared" si="2"/>
        <v>0.33999999999999986</v>
      </c>
      <c r="AJ18" s="128">
        <f t="shared" si="2"/>
        <v>0.44</v>
      </c>
      <c r="AK18" s="131">
        <f t="shared" si="2"/>
        <v>1927.5</v>
      </c>
      <c r="AL18" s="38"/>
      <c r="AN18" s="144"/>
      <c r="AO18" s="144"/>
      <c r="AP18" s="144"/>
      <c r="AQ18" s="144"/>
      <c r="AR18" s="144"/>
      <c r="AS18" s="144"/>
      <c r="AT18" s="144"/>
      <c r="AU18" s="144"/>
      <c r="AV18" s="144"/>
      <c r="AW18" s="144"/>
      <c r="AX18" s="144"/>
      <c r="AY18" s="144"/>
    </row>
    <row r="19" spans="1:53" s="24" customFormat="1" ht="15.75" thickBot="1">
      <c r="A19" s="117"/>
      <c r="B19" s="118"/>
      <c r="C19" s="118"/>
      <c r="D19" s="118"/>
      <c r="E19" s="118"/>
      <c r="F19" s="118"/>
      <c r="G19" s="118"/>
      <c r="H19" s="118"/>
      <c r="I19" s="118"/>
      <c r="J19" s="118"/>
      <c r="K19" s="118"/>
      <c r="L19" s="118"/>
      <c r="M19" s="38"/>
      <c r="N19" s="12" t="s">
        <v>90</v>
      </c>
      <c r="O19" s="51"/>
      <c r="P19" s="51"/>
      <c r="Q19" s="51"/>
      <c r="R19" s="51"/>
      <c r="S19" s="51"/>
      <c r="T19" s="51"/>
      <c r="U19" s="51"/>
      <c r="V19" s="51"/>
      <c r="W19" s="51"/>
      <c r="X19" s="52"/>
      <c r="Y19" s="38"/>
      <c r="Z19" s="12" t="s">
        <v>90</v>
      </c>
      <c r="AA19" s="128">
        <f>AA33-SUM(AA20:AA31)</f>
        <v>337.1700000000001</v>
      </c>
      <c r="AB19" s="128">
        <f aca="true" t="shared" si="3" ref="AB19:AK19">AB33-SUM(AB20:AB31)</f>
        <v>720.4300000000001</v>
      </c>
      <c r="AC19" s="128">
        <f t="shared" si="3"/>
        <v>14.009999999999991</v>
      </c>
      <c r="AD19" s="128">
        <f t="shared" si="3"/>
        <v>447.72</v>
      </c>
      <c r="AE19" s="128">
        <f t="shared" si="3"/>
        <v>241.26</v>
      </c>
      <c r="AF19" s="128">
        <f t="shared" si="3"/>
        <v>42.79</v>
      </c>
      <c r="AG19" s="128">
        <f t="shared" si="3"/>
        <v>20.919999999999998</v>
      </c>
      <c r="AH19" s="128">
        <f t="shared" si="3"/>
        <v>102.35988724081247</v>
      </c>
      <c r="AI19" s="128">
        <f t="shared" si="3"/>
        <v>-0.03449776300800522</v>
      </c>
      <c r="AJ19" s="128">
        <f t="shared" si="3"/>
        <v>0.3731977452044859</v>
      </c>
      <c r="AK19" s="216">
        <f t="shared" si="3"/>
        <v>1926.998587223009</v>
      </c>
      <c r="AL19" s="38"/>
      <c r="AM19" s="12" t="s">
        <v>90</v>
      </c>
      <c r="AN19" s="145">
        <f aca="true" t="shared" si="4" ref="AN19:AX19">AN33-SUM(AN20:AN31)</f>
        <v>1300.7850015000001</v>
      </c>
      <c r="AO19" s="145">
        <f t="shared" si="4"/>
        <v>2252.7629970999997</v>
      </c>
      <c r="AP19" s="145">
        <f t="shared" si="4"/>
        <v>43.80884970000034</v>
      </c>
      <c r="AQ19" s="145">
        <f t="shared" si="4"/>
        <v>1018.1869151999999</v>
      </c>
      <c r="AR19" s="145">
        <f t="shared" si="4"/>
        <v>0</v>
      </c>
      <c r="AS19" s="145">
        <f t="shared" si="4"/>
        <v>0</v>
      </c>
      <c r="AT19" s="145">
        <f t="shared" si="4"/>
        <v>0</v>
      </c>
      <c r="AU19" s="145">
        <f t="shared" si="4"/>
        <v>490.50653246022864</v>
      </c>
      <c r="AV19" s="146"/>
      <c r="AW19" s="146"/>
      <c r="AX19" s="147">
        <f t="shared" si="4"/>
        <v>5104.180708939694</v>
      </c>
      <c r="AY19" s="148" t="s">
        <v>112</v>
      </c>
      <c r="BA19" s="170" t="s">
        <v>127</v>
      </c>
    </row>
    <row r="20" spans="1:54" ht="12.75">
      <c r="A20" s="64" t="s">
        <v>9</v>
      </c>
      <c r="B20" s="65"/>
      <c r="C20" s="65">
        <v>17.67</v>
      </c>
      <c r="D20" s="69">
        <v>-15.39</v>
      </c>
      <c r="E20" s="65">
        <v>0</v>
      </c>
      <c r="F20" s="65"/>
      <c r="G20" s="65"/>
      <c r="H20" s="65"/>
      <c r="I20" s="65"/>
      <c r="J20" s="65"/>
      <c r="K20" s="65"/>
      <c r="L20" s="71">
        <v>2.29</v>
      </c>
      <c r="N20" s="3" t="s">
        <v>9</v>
      </c>
      <c r="O20" s="89">
        <v>1</v>
      </c>
      <c r="P20" s="89">
        <v>1</v>
      </c>
      <c r="Q20" s="89">
        <v>1</v>
      </c>
      <c r="R20" s="89">
        <v>1</v>
      </c>
      <c r="S20" s="89">
        <v>1</v>
      </c>
      <c r="T20" s="89">
        <v>1</v>
      </c>
      <c r="U20" s="89">
        <v>1</v>
      </c>
      <c r="V20" s="89">
        <v>1</v>
      </c>
      <c r="W20" s="89">
        <v>1</v>
      </c>
      <c r="X20" s="89">
        <v>1</v>
      </c>
      <c r="Z20" s="3" t="s">
        <v>9</v>
      </c>
      <c r="AA20" s="209"/>
      <c r="AB20" s="209">
        <f>P20*C20</f>
        <v>17.67</v>
      </c>
      <c r="AC20" s="209">
        <f>Q20*D20</f>
        <v>-15.39</v>
      </c>
      <c r="AD20" s="209"/>
      <c r="AE20" s="209"/>
      <c r="AF20" s="209"/>
      <c r="AG20" s="209"/>
      <c r="AH20" s="209"/>
      <c r="AI20" s="209"/>
      <c r="AJ20" s="209"/>
      <c r="AK20" s="215">
        <f t="shared" si="1"/>
        <v>2.280000000000001</v>
      </c>
      <c r="AM20" s="115" t="s">
        <v>9</v>
      </c>
      <c r="AN20" s="157">
        <f aca="true" t="shared" si="5" ref="AN20:AN31">AA20*AN$6</f>
        <v>0</v>
      </c>
      <c r="AO20" s="157">
        <f>AB20*AO$6</f>
        <v>55.2535599</v>
      </c>
      <c r="AP20" s="157">
        <f aca="true" t="shared" si="6" ref="AP20:AP31">AC20*AP$6</f>
        <v>-48.1240683</v>
      </c>
      <c r="AQ20" s="157">
        <f aca="true" t="shared" si="7" ref="AQ20:AQ31">AD20*AQ$6</f>
        <v>0</v>
      </c>
      <c r="AR20" s="157">
        <f aca="true" t="shared" si="8" ref="AR20:AR31">AE20*AR$6</f>
        <v>0</v>
      </c>
      <c r="AS20" s="157">
        <f aca="true" t="shared" si="9" ref="AS20:AS31">AF20*AS$6</f>
        <v>0</v>
      </c>
      <c r="AT20" s="157">
        <f aca="true" t="shared" si="10" ref="AT20:AT31">AG20*AT$6</f>
        <v>0</v>
      </c>
      <c r="AU20" s="157">
        <f aca="true" t="shared" si="11" ref="AU20:AU31">AH20*AU$6</f>
        <v>0</v>
      </c>
      <c r="AV20" s="157"/>
      <c r="AW20" s="157"/>
      <c r="AX20" s="158">
        <f>SUM(AN20:AW20)</f>
        <v>7.1294916000000015</v>
      </c>
      <c r="AY20" s="4">
        <f>-100*AX20/AX$19</f>
        <v>-0.1396794511509572</v>
      </c>
      <c r="AZ20" s="4" t="s">
        <v>110</v>
      </c>
      <c r="BA20" s="4">
        <v>-0.15452204743726436</v>
      </c>
      <c r="BB20" t="s">
        <v>110</v>
      </c>
    </row>
    <row r="21" spans="1:54" ht="12.75">
      <c r="A21" s="64" t="s">
        <v>13</v>
      </c>
      <c r="B21" s="65">
        <v>-2.99</v>
      </c>
      <c r="C21" s="65">
        <v>1.67</v>
      </c>
      <c r="D21" s="65">
        <v>1.79</v>
      </c>
      <c r="E21" s="65">
        <v>1.16</v>
      </c>
      <c r="F21" s="65"/>
      <c r="G21" s="65"/>
      <c r="H21" s="65"/>
      <c r="I21" s="65">
        <v>-0.08</v>
      </c>
      <c r="J21" s="65">
        <v>0.11</v>
      </c>
      <c r="K21" s="65">
        <v>0.44</v>
      </c>
      <c r="L21" s="71">
        <v>2.12</v>
      </c>
      <c r="N21" s="3" t="s">
        <v>13</v>
      </c>
      <c r="O21" s="94">
        <v>1</v>
      </c>
      <c r="P21" s="94">
        <v>1</v>
      </c>
      <c r="Q21" s="94">
        <v>1</v>
      </c>
      <c r="R21" s="94">
        <v>1</v>
      </c>
      <c r="S21" s="94">
        <v>1</v>
      </c>
      <c r="T21" s="94">
        <v>1</v>
      </c>
      <c r="U21" s="94">
        <v>1</v>
      </c>
      <c r="V21" s="94">
        <v>1</v>
      </c>
      <c r="W21" s="94">
        <v>1</v>
      </c>
      <c r="X21" s="94">
        <v>1</v>
      </c>
      <c r="Y21" s="39"/>
      <c r="Z21" s="3" t="s">
        <v>13</v>
      </c>
      <c r="AA21" s="209">
        <f>O21*B21*AA18/B18</f>
        <v>-2.9899999999999998</v>
      </c>
      <c r="AB21" s="209">
        <f>P21*C21*AB18/C18</f>
        <v>1.6699999999999997</v>
      </c>
      <c r="AC21" s="209">
        <f aca="true" t="shared" si="12" ref="AC21:AD27">Q21*D21</f>
        <v>1.79</v>
      </c>
      <c r="AD21" s="209">
        <f aca="true" t="shared" si="13" ref="AD21:AJ21">R21*E21*AD18/E18</f>
        <v>1.1599999999999997</v>
      </c>
      <c r="AE21" s="209">
        <f t="shared" si="13"/>
        <v>0</v>
      </c>
      <c r="AF21" s="209">
        <f t="shared" si="13"/>
        <v>0</v>
      </c>
      <c r="AG21" s="209">
        <f t="shared" si="13"/>
        <v>0</v>
      </c>
      <c r="AH21" s="209">
        <f t="shared" si="13"/>
        <v>-0.07999218826286496</v>
      </c>
      <c r="AI21" s="209">
        <f t="shared" si="13"/>
        <v>0.10999999999999995</v>
      </c>
      <c r="AJ21" s="209">
        <f t="shared" si="13"/>
        <v>0.44</v>
      </c>
      <c r="AK21" s="215">
        <f t="shared" si="1"/>
        <v>2.1000078117371346</v>
      </c>
      <c r="AM21" s="110" t="s">
        <v>13</v>
      </c>
      <c r="AN21" s="157">
        <f t="shared" si="5"/>
        <v>-11.535270499999998</v>
      </c>
      <c r="AO21" s="157">
        <f aca="true" t="shared" si="14" ref="AO21:AO31">AB21*AO$6</f>
        <v>5.222039899999999</v>
      </c>
      <c r="AP21" s="157">
        <f t="shared" si="6"/>
        <v>5.597276299999999</v>
      </c>
      <c r="AQ21" s="157">
        <f t="shared" si="7"/>
        <v>2.638025599999999</v>
      </c>
      <c r="AR21" s="157">
        <f t="shared" si="8"/>
        <v>0</v>
      </c>
      <c r="AS21" s="157">
        <f t="shared" si="9"/>
        <v>0</v>
      </c>
      <c r="AT21" s="157">
        <f t="shared" si="10"/>
        <v>0</v>
      </c>
      <c r="AU21" s="157">
        <f t="shared" si="11"/>
        <v>-0.3833209663118836</v>
      </c>
      <c r="AV21" s="157"/>
      <c r="AW21" s="157"/>
      <c r="AX21" s="158">
        <f>SUM(AN21:AW21)</f>
        <v>1.5387503336881152</v>
      </c>
      <c r="AY21" s="4">
        <f aca="true" t="shared" si="15" ref="AY21:AY31">-100*AX21/AX$19</f>
        <v>-0.03014686237485828</v>
      </c>
      <c r="AZ21" s="4" t="s">
        <v>110</v>
      </c>
      <c r="BA21" s="4">
        <v>-0.04165828494648961</v>
      </c>
      <c r="BB21" t="s">
        <v>110</v>
      </c>
    </row>
    <row r="22" spans="1:55" ht="14.25">
      <c r="A22" s="64" t="s">
        <v>10</v>
      </c>
      <c r="B22" s="65">
        <v>-177.01</v>
      </c>
      <c r="C22" s="65"/>
      <c r="D22" s="65">
        <v>-15.48</v>
      </c>
      <c r="E22" s="65">
        <v>-83.86</v>
      </c>
      <c r="F22" s="65">
        <v>-237.92</v>
      </c>
      <c r="G22" s="65">
        <v>-42.79</v>
      </c>
      <c r="H22" s="65">
        <v>-16.16</v>
      </c>
      <c r="I22" s="65">
        <v>-17.85</v>
      </c>
      <c r="J22" s="65">
        <v>251.41</v>
      </c>
      <c r="K22" s="120">
        <v>-0.45</v>
      </c>
      <c r="L22" s="71">
        <v>-340.13</v>
      </c>
      <c r="N22" s="3" t="s">
        <v>10</v>
      </c>
      <c r="O22" s="89">
        <v>1</v>
      </c>
      <c r="P22" s="89">
        <v>1</v>
      </c>
      <c r="Q22" s="89">
        <v>1</v>
      </c>
      <c r="R22" s="89">
        <v>1</v>
      </c>
      <c r="S22" s="89">
        <v>1</v>
      </c>
      <c r="T22" s="89">
        <v>1</v>
      </c>
      <c r="U22" s="89">
        <v>1</v>
      </c>
      <c r="V22" s="89">
        <v>1</v>
      </c>
      <c r="W22" s="55"/>
      <c r="X22" s="89">
        <v>1</v>
      </c>
      <c r="Y22" s="39"/>
      <c r="Z22" s="3" t="s">
        <v>10</v>
      </c>
      <c r="AA22" s="209">
        <f>O22*B22</f>
        <v>-177.01</v>
      </c>
      <c r="AB22" s="209"/>
      <c r="AC22" s="209">
        <f t="shared" si="12"/>
        <v>-15.48</v>
      </c>
      <c r="AD22" s="209">
        <f>R22*E22</f>
        <v>-83.86</v>
      </c>
      <c r="AE22" s="209">
        <f>S22*F22</f>
        <v>-237.92</v>
      </c>
      <c r="AF22" s="209">
        <f>T22*G22</f>
        <v>-42.79</v>
      </c>
      <c r="AG22" s="209">
        <f>U22*H22</f>
        <v>-16.16</v>
      </c>
      <c r="AH22" s="209">
        <f>V22*I22</f>
        <v>-17.85</v>
      </c>
      <c r="AI22" s="209">
        <f>-(IF(O22&gt;1,(B4*B22+O4*(AA22-B22)),(B4*AA22))+IF(Q22&gt;1,(D4*D23+Q4*(AC22-D23)),(D4*AC22))+IF(R22&gt;1,(E4*E22+R4*(AD22-E22)),(E4*AD22))+IF(S22&gt;1,(F4*F22+S4*(AE22-F22)),(F4*AE22))+G4*AF22+H4*AG22+IF(V22&gt;1,(I4*I22+V4*(AH22-I22)),(I4*AH22)))</f>
        <v>251.36224999999996</v>
      </c>
      <c r="AJ22" s="209">
        <f>X22*K22</f>
        <v>-0.45</v>
      </c>
      <c r="AK22" s="215">
        <f t="shared" si="1"/>
        <v>-340.15774999999996</v>
      </c>
      <c r="AM22" s="110" t="s">
        <v>10</v>
      </c>
      <c r="AN22" s="157">
        <f t="shared" si="5"/>
        <v>-682.8957294999999</v>
      </c>
      <c r="AO22" s="157">
        <f t="shared" si="14"/>
        <v>0</v>
      </c>
      <c r="AP22" s="157">
        <f t="shared" si="6"/>
        <v>-48.405495599999995</v>
      </c>
      <c r="AQ22" s="157">
        <f t="shared" si="7"/>
        <v>-190.71105759999998</v>
      </c>
      <c r="AR22" s="157">
        <f t="shared" si="8"/>
        <v>0</v>
      </c>
      <c r="AS22" s="157">
        <f t="shared" si="9"/>
        <v>0</v>
      </c>
      <c r="AT22" s="157">
        <f t="shared" si="10"/>
        <v>0</v>
      </c>
      <c r="AU22" s="157">
        <f t="shared" si="11"/>
        <v>-85.536843</v>
      </c>
      <c r="AV22" s="157">
        <f>AI22*AV$6</f>
        <v>1007.5491256999998</v>
      </c>
      <c r="AW22" s="157">
        <f>AJ22*AW$6</f>
        <v>0</v>
      </c>
      <c r="AX22" s="158"/>
      <c r="AY22" s="189">
        <f>-SUM(AN22:AU22)*100/AY$16</f>
        <v>19.731419697818726</v>
      </c>
      <c r="AZ22" s="189" t="s">
        <v>110</v>
      </c>
      <c r="BA22" s="189">
        <f>-SUM(AN22:AQ22)*100/BA$16</f>
        <v>19.975915300409426</v>
      </c>
      <c r="BB22" s="188" t="s">
        <v>110</v>
      </c>
      <c r="BC22" s="127" t="s">
        <v>111</v>
      </c>
    </row>
    <row r="23" spans="1:55" ht="12.75">
      <c r="A23" s="64" t="s">
        <v>11</v>
      </c>
      <c r="B23" s="87">
        <v>-63.56</v>
      </c>
      <c r="C23" s="87" t="s">
        <v>88</v>
      </c>
      <c r="D23" s="87">
        <v>-9.564</v>
      </c>
      <c r="E23" s="87">
        <v>-58.68</v>
      </c>
      <c r="F23" s="87">
        <v>-3.34</v>
      </c>
      <c r="G23" s="87"/>
      <c r="H23" s="87">
        <v>-0.97</v>
      </c>
      <c r="I23" s="88">
        <v>-16.87</v>
      </c>
      <c r="J23" s="69">
        <v>56.21</v>
      </c>
      <c r="K23" s="65">
        <v>47.52</v>
      </c>
      <c r="L23" s="71">
        <v>-49.254</v>
      </c>
      <c r="N23" s="3" t="s">
        <v>11</v>
      </c>
      <c r="O23" s="89">
        <v>1</v>
      </c>
      <c r="P23" s="89">
        <v>1</v>
      </c>
      <c r="Q23" s="89">
        <v>1</v>
      </c>
      <c r="R23" s="89">
        <v>1</v>
      </c>
      <c r="S23" s="89">
        <v>1</v>
      </c>
      <c r="T23" s="89">
        <v>1</v>
      </c>
      <c r="U23" s="89">
        <v>1</v>
      </c>
      <c r="V23" s="89">
        <v>1</v>
      </c>
      <c r="W23" s="55"/>
      <c r="X23" s="55"/>
      <c r="Y23" s="39"/>
      <c r="Z23" s="3" t="s">
        <v>11</v>
      </c>
      <c r="AA23" s="209">
        <f>O23*B23</f>
        <v>-63.56</v>
      </c>
      <c r="AB23" s="209"/>
      <c r="AC23" s="209">
        <f t="shared" si="12"/>
        <v>-9.564</v>
      </c>
      <c r="AD23" s="209">
        <f>R23*E23</f>
        <v>-58.68</v>
      </c>
      <c r="AE23" s="209">
        <f>S23*F23</f>
        <v>-3.34</v>
      </c>
      <c r="AF23" s="209"/>
      <c r="AG23" s="209">
        <f>U23*H23</f>
        <v>-0.97</v>
      </c>
      <c r="AH23" s="209">
        <f>V23*I23</f>
        <v>-16.87</v>
      </c>
      <c r="AI23" s="209">
        <f>-(IF(O23&gt;1,(B5*B23+O5*(AA23-B23)),(B5*AA23))+IF(Q23&gt;1,(D5*D24+Q5*(AC23-D24)),(D5*AC23))+IF(R23&gt;1,(E5*E23+R5*(AD23-E23)),(E5*AD23))+IF(S23&gt;1,(F5*F23+S5*(AE23-F23)),(F5*AE23))+IF(V23&gt;1,(I5*I23+V5*(AH23-I23)),(I5*AH23)))</f>
        <v>56.15392</v>
      </c>
      <c r="AJ23" s="209">
        <f>-(IF(O23&gt;1,(B6*B23+O6*(AA23-B23)),(B6*AA23))+IF(Q23&gt;1,(D6*D24+Q6*(AC23-D24)),(D6*AC23))+IF(R23&gt;1,(E6*E23+R6*(AD23-E23)),(E6*AD23))+IF(S23&gt;1,(F6*F23+S6*(AE23-F23)),(F6*AE23))+IF(V23&gt;1,(I6*I23+V6*(AH23-I23)),(I6*AH23)))</f>
        <v>47.50741000000001</v>
      </c>
      <c r="AK23" s="215">
        <f t="shared" si="1"/>
        <v>-49.32267</v>
      </c>
      <c r="AM23" s="110" t="s">
        <v>11</v>
      </c>
      <c r="AN23" s="157">
        <f t="shared" si="5"/>
        <v>-245.211302</v>
      </c>
      <c r="AO23" s="157">
        <f t="shared" si="14"/>
        <v>0</v>
      </c>
      <c r="AP23" s="157">
        <f t="shared" si="6"/>
        <v>-29.906341079999997</v>
      </c>
      <c r="AQ23" s="157">
        <f t="shared" si="7"/>
        <v>-133.4477088</v>
      </c>
      <c r="AR23" s="157">
        <f t="shared" si="8"/>
        <v>0</v>
      </c>
      <c r="AS23" s="157">
        <f t="shared" si="9"/>
        <v>0</v>
      </c>
      <c r="AT23" s="157">
        <f t="shared" si="10"/>
        <v>0</v>
      </c>
      <c r="AU23" s="157">
        <f t="shared" si="11"/>
        <v>-80.8407026</v>
      </c>
      <c r="AV23" s="157">
        <f>AI23*AV$7</f>
        <v>265.11398638996394</v>
      </c>
      <c r="AW23" s="157">
        <f>AJ23*AW7</f>
        <v>224.29206809003605</v>
      </c>
      <c r="AX23" s="158">
        <f>SUM(AN23:AW23)</f>
        <v>0</v>
      </c>
      <c r="AY23" s="189">
        <f>-SUM(AN23:AU23)*100/AY$16</f>
        <v>9.584323004488136</v>
      </c>
      <c r="AZ23" s="189" t="s">
        <v>110</v>
      </c>
      <c r="BA23" s="189">
        <f>-SUM(AN23:AQ23)*100/BA$16</f>
        <v>8.851798416325861</v>
      </c>
      <c r="BB23" s="188" t="s">
        <v>110</v>
      </c>
      <c r="BC23" s="127" t="s">
        <v>111</v>
      </c>
    </row>
    <row r="24" spans="1:55" ht="12.75">
      <c r="A24" s="64" t="s">
        <v>12</v>
      </c>
      <c r="B24" s="87">
        <v>-5.19</v>
      </c>
      <c r="C24" s="87"/>
      <c r="D24" s="87">
        <v>-0.816</v>
      </c>
      <c r="E24" s="87">
        <v>-5.38</v>
      </c>
      <c r="F24" s="87"/>
      <c r="G24" s="87"/>
      <c r="H24" s="87">
        <v>-0.13</v>
      </c>
      <c r="I24" s="87">
        <v>-3.72</v>
      </c>
      <c r="J24" s="65">
        <v>-0.25</v>
      </c>
      <c r="K24" s="65">
        <v>13.4</v>
      </c>
      <c r="L24" s="71">
        <v>-2.0860000000000003</v>
      </c>
      <c r="N24" s="3" t="s">
        <v>12</v>
      </c>
      <c r="O24" s="89">
        <v>1</v>
      </c>
      <c r="P24" s="89">
        <v>1</v>
      </c>
      <c r="Q24" s="89">
        <v>1</v>
      </c>
      <c r="R24" s="89">
        <v>1</v>
      </c>
      <c r="S24" s="89">
        <v>1</v>
      </c>
      <c r="T24" s="89">
        <v>1</v>
      </c>
      <c r="U24" s="89">
        <v>1</v>
      </c>
      <c r="V24" s="89">
        <v>1</v>
      </c>
      <c r="W24" s="89">
        <v>1</v>
      </c>
      <c r="X24" s="55"/>
      <c r="Y24" s="39"/>
      <c r="Z24" s="3" t="s">
        <v>12</v>
      </c>
      <c r="AA24" s="209">
        <f>O24*B24</f>
        <v>-5.19</v>
      </c>
      <c r="AB24" s="209"/>
      <c r="AC24" s="209">
        <f t="shared" si="12"/>
        <v>-0.816</v>
      </c>
      <c r="AD24" s="209">
        <f>R24*E24</f>
        <v>-5.38</v>
      </c>
      <c r="AE24" s="209"/>
      <c r="AF24" s="209"/>
      <c r="AG24" s="209">
        <f>U24*H24</f>
        <v>-0.13</v>
      </c>
      <c r="AH24" s="209">
        <f>V24*I24</f>
        <v>-3.72</v>
      </c>
      <c r="AI24" s="209">
        <f>W24*J24</f>
        <v>-0.25</v>
      </c>
      <c r="AJ24" s="209">
        <f>-(IF(O24&gt;1,(B7*B24+O7*(AA24-B24)),(B7*AA24))+IF(Q24&gt;1,(D7*D25+Q7*(AC24-D25)),(D7*AC24))+IF(R24&gt;1,(E7*E24+R7*(AD24-E24)),(E7*AD24))+IF(S24&gt;1,(F7*F24+S7*(AE24-F24)),(F7*AE24))+IF(V24&gt;1,(I7*I24+V7*(AH24-I24)),(I7*AH24)))</f>
        <v>13.511599999999998</v>
      </c>
      <c r="AK24" s="215">
        <f t="shared" si="1"/>
        <v>-1.9744000000000028</v>
      </c>
      <c r="AM24" s="110" t="s">
        <v>12</v>
      </c>
      <c r="AN24" s="157">
        <f t="shared" si="5"/>
        <v>-20.0227605</v>
      </c>
      <c r="AO24" s="157">
        <f t="shared" si="14"/>
        <v>0</v>
      </c>
      <c r="AP24" s="157">
        <f t="shared" si="6"/>
        <v>-2.5516075199999997</v>
      </c>
      <c r="AQ24" s="157">
        <f t="shared" si="7"/>
        <v>-12.234980799999999</v>
      </c>
      <c r="AR24" s="157">
        <f t="shared" si="8"/>
        <v>0</v>
      </c>
      <c r="AS24" s="157">
        <f t="shared" si="9"/>
        <v>0</v>
      </c>
      <c r="AT24" s="157">
        <f t="shared" si="10"/>
        <v>0</v>
      </c>
      <c r="AU24" s="157">
        <f t="shared" si="11"/>
        <v>-17.8261656</v>
      </c>
      <c r="AV24" s="157"/>
      <c r="AW24" s="157">
        <f>AJ24*AW8</f>
        <v>52.63551441999999</v>
      </c>
      <c r="AX24" s="158">
        <f>SUM(AN24:AW24)</f>
        <v>0</v>
      </c>
      <c r="AY24" s="189">
        <f>-SUM(AN24:AU24)*100/AY$16</f>
        <v>1.0307918487945242</v>
      </c>
      <c r="AZ24" s="189" t="s">
        <v>110</v>
      </c>
      <c r="BA24" s="189">
        <f>-SUM(AN24:AQ24)*100/BA$16</f>
        <v>0.7541641437297164</v>
      </c>
      <c r="BB24" s="188" t="s">
        <v>110</v>
      </c>
      <c r="BC24" s="127" t="s">
        <v>111</v>
      </c>
    </row>
    <row r="25" spans="1:54" ht="12.75">
      <c r="A25" s="64" t="s">
        <v>14</v>
      </c>
      <c r="B25" s="65">
        <v>-0.46</v>
      </c>
      <c r="C25" s="65"/>
      <c r="D25" s="65">
        <v>-0.18</v>
      </c>
      <c r="E25" s="65">
        <v>0.46</v>
      </c>
      <c r="F25" s="65"/>
      <c r="G25" s="65"/>
      <c r="H25" s="65"/>
      <c r="I25" s="65"/>
      <c r="J25" s="65"/>
      <c r="K25" s="65"/>
      <c r="L25" s="71">
        <v>-0.18</v>
      </c>
      <c r="N25" s="3" t="s">
        <v>14</v>
      </c>
      <c r="O25" s="89">
        <v>1</v>
      </c>
      <c r="P25" s="89">
        <v>1</v>
      </c>
      <c r="Q25" s="89">
        <v>1</v>
      </c>
      <c r="R25" s="89">
        <v>1</v>
      </c>
      <c r="S25" s="89">
        <v>1</v>
      </c>
      <c r="T25" s="89">
        <v>1</v>
      </c>
      <c r="U25" s="89">
        <v>1</v>
      </c>
      <c r="V25" s="89">
        <v>1</v>
      </c>
      <c r="W25" s="89">
        <v>1</v>
      </c>
      <c r="X25" s="89">
        <v>1</v>
      </c>
      <c r="Y25" s="39"/>
      <c r="Z25" s="3" t="s">
        <v>14</v>
      </c>
      <c r="AA25" s="209">
        <f>O25*B25</f>
        <v>-0.46</v>
      </c>
      <c r="AB25" s="209"/>
      <c r="AC25" s="209">
        <f t="shared" si="12"/>
        <v>-0.18</v>
      </c>
      <c r="AD25" s="209">
        <f>R25*E25</f>
        <v>0.46</v>
      </c>
      <c r="AE25" s="209"/>
      <c r="AF25" s="209"/>
      <c r="AG25" s="209"/>
      <c r="AH25" s="209"/>
      <c r="AI25" s="209"/>
      <c r="AJ25" s="209"/>
      <c r="AK25" s="215">
        <f t="shared" si="1"/>
        <v>-0.18</v>
      </c>
      <c r="AM25" s="110" t="s">
        <v>14</v>
      </c>
      <c r="AN25" s="157">
        <f t="shared" si="5"/>
        <v>-1.774657</v>
      </c>
      <c r="AO25" s="157">
        <f t="shared" si="14"/>
        <v>0</v>
      </c>
      <c r="AP25" s="157">
        <f t="shared" si="6"/>
        <v>-0.5628545999999999</v>
      </c>
      <c r="AQ25" s="157">
        <f t="shared" si="7"/>
        <v>1.0461136</v>
      </c>
      <c r="AR25" s="157">
        <f t="shared" si="8"/>
        <v>0</v>
      </c>
      <c r="AS25" s="157">
        <f t="shared" si="9"/>
        <v>0</v>
      </c>
      <c r="AT25" s="157">
        <f t="shared" si="10"/>
        <v>0</v>
      </c>
      <c r="AU25" s="157">
        <f t="shared" si="11"/>
        <v>0</v>
      </c>
      <c r="AV25" s="157"/>
      <c r="AW25" s="157"/>
      <c r="AX25" s="158">
        <f aca="true" t="shared" si="16" ref="AX25:AX31">SUM(AN25:AW25)</f>
        <v>-1.291398</v>
      </c>
      <c r="AY25" s="4">
        <f t="shared" si="15"/>
        <v>0.025300789169517193</v>
      </c>
      <c r="AZ25" s="4" t="s">
        <v>110</v>
      </c>
      <c r="BA25" s="4">
        <v>0.027989297724453212</v>
      </c>
      <c r="BB25" t="s">
        <v>110</v>
      </c>
    </row>
    <row r="26" spans="1:54" ht="12.75">
      <c r="A26" s="64" t="s">
        <v>15</v>
      </c>
      <c r="B26" s="65"/>
      <c r="C26" s="65">
        <v>-748.5</v>
      </c>
      <c r="D26" s="65">
        <v>741.71</v>
      </c>
      <c r="E26" s="65"/>
      <c r="F26" s="65"/>
      <c r="G26" s="65"/>
      <c r="H26" s="65"/>
      <c r="I26" s="65"/>
      <c r="J26" s="65"/>
      <c r="K26" s="65"/>
      <c r="L26" s="71">
        <v>-6.79</v>
      </c>
      <c r="N26" s="3" t="s">
        <v>15</v>
      </c>
      <c r="O26" s="89">
        <v>1</v>
      </c>
      <c r="P26" s="89">
        <v>1</v>
      </c>
      <c r="Q26" s="89">
        <v>1</v>
      </c>
      <c r="R26" s="89">
        <v>1</v>
      </c>
      <c r="S26" s="89">
        <v>1</v>
      </c>
      <c r="T26" s="89">
        <v>1</v>
      </c>
      <c r="U26" s="89">
        <v>1</v>
      </c>
      <c r="V26" s="89">
        <v>1</v>
      </c>
      <c r="W26" s="89">
        <v>1</v>
      </c>
      <c r="X26" s="89">
        <v>1</v>
      </c>
      <c r="Y26" s="39"/>
      <c r="Z26" s="3" t="s">
        <v>15</v>
      </c>
      <c r="AA26" s="209"/>
      <c r="AB26" s="209">
        <f>P26*C26</f>
        <v>-748.5</v>
      </c>
      <c r="AC26" s="209">
        <f t="shared" si="12"/>
        <v>741.71</v>
      </c>
      <c r="AD26" s="209"/>
      <c r="AE26" s="209"/>
      <c r="AF26" s="209"/>
      <c r="AG26" s="209"/>
      <c r="AH26" s="209"/>
      <c r="AI26" s="209"/>
      <c r="AJ26" s="209"/>
      <c r="AK26" s="215">
        <f t="shared" si="1"/>
        <v>-6.789999999999964</v>
      </c>
      <c r="AM26" s="110" t="s">
        <v>15</v>
      </c>
      <c r="AN26" s="157"/>
      <c r="AO26" s="157">
        <f t="shared" si="14"/>
        <v>-2340.5370449999996</v>
      </c>
      <c r="AP26" s="157">
        <f t="shared" si="6"/>
        <v>2319.3049186999997</v>
      </c>
      <c r="AQ26" s="157">
        <f t="shared" si="7"/>
        <v>0</v>
      </c>
      <c r="AR26" s="157">
        <f t="shared" si="8"/>
        <v>0</v>
      </c>
      <c r="AS26" s="157">
        <f t="shared" si="9"/>
        <v>0</v>
      </c>
      <c r="AT26" s="157">
        <f t="shared" si="10"/>
        <v>0</v>
      </c>
      <c r="AU26" s="157">
        <f t="shared" si="11"/>
        <v>0</v>
      </c>
      <c r="AV26" s="157"/>
      <c r="AW26" s="157"/>
      <c r="AX26" s="158">
        <f t="shared" si="16"/>
        <v>-21.23212629999989</v>
      </c>
      <c r="AY26" s="4">
        <f t="shared" si="15"/>
        <v>0.41597520759429574</v>
      </c>
      <c r="AZ26" s="4" t="s">
        <v>110</v>
      </c>
      <c r="BA26" s="4">
        <v>0.46017750092062254</v>
      </c>
      <c r="BB26" t="s">
        <v>110</v>
      </c>
    </row>
    <row r="27" spans="1:54" ht="12.75">
      <c r="A27" s="64" t="s">
        <v>16</v>
      </c>
      <c r="B27" s="65">
        <v>-24.44</v>
      </c>
      <c r="C27" s="65">
        <v>0.02</v>
      </c>
      <c r="D27" s="65">
        <v>-1.96</v>
      </c>
      <c r="E27" s="65">
        <v>-0.09</v>
      </c>
      <c r="F27" s="65"/>
      <c r="G27" s="65"/>
      <c r="H27" s="65"/>
      <c r="I27" s="65"/>
      <c r="J27" s="65"/>
      <c r="K27" s="65"/>
      <c r="L27" s="71">
        <v>-26.47</v>
      </c>
      <c r="N27" s="3" t="s">
        <v>16</v>
      </c>
      <c r="O27" s="89">
        <v>1</v>
      </c>
      <c r="P27" s="89">
        <v>1</v>
      </c>
      <c r="Q27" s="89">
        <v>1</v>
      </c>
      <c r="R27" s="89">
        <v>1</v>
      </c>
      <c r="S27" s="89">
        <v>1</v>
      </c>
      <c r="T27" s="89">
        <v>1</v>
      </c>
      <c r="U27" s="89">
        <v>1</v>
      </c>
      <c r="V27" s="89">
        <v>1</v>
      </c>
      <c r="W27" s="89">
        <v>1</v>
      </c>
      <c r="X27" s="89">
        <v>1</v>
      </c>
      <c r="Y27" s="39"/>
      <c r="Z27" s="3" t="s">
        <v>16</v>
      </c>
      <c r="AA27" s="209">
        <f>O27*B27*AA35/B35</f>
        <v>-24.44</v>
      </c>
      <c r="AB27" s="209">
        <f>P27*C27</f>
        <v>0.02</v>
      </c>
      <c r="AC27" s="209">
        <f t="shared" si="12"/>
        <v>-1.96</v>
      </c>
      <c r="AD27" s="209">
        <f t="shared" si="12"/>
        <v>-0.09</v>
      </c>
      <c r="AE27" s="209"/>
      <c r="AF27" s="209"/>
      <c r="AG27" s="209"/>
      <c r="AH27" s="209"/>
      <c r="AI27" s="209"/>
      <c r="AJ27" s="209"/>
      <c r="AK27" s="215">
        <f t="shared" si="1"/>
        <v>-26.470000000000002</v>
      </c>
      <c r="AM27" s="110" t="s">
        <v>16</v>
      </c>
      <c r="AN27" s="157">
        <f t="shared" si="5"/>
        <v>-94.288298</v>
      </c>
      <c r="AO27" s="157">
        <f t="shared" si="14"/>
        <v>0.0625394</v>
      </c>
      <c r="AP27" s="157">
        <f t="shared" si="6"/>
        <v>-6.128861199999999</v>
      </c>
      <c r="AQ27" s="157">
        <f t="shared" si="7"/>
        <v>-0.20467439999999998</v>
      </c>
      <c r="AR27" s="157">
        <f t="shared" si="8"/>
        <v>0</v>
      </c>
      <c r="AS27" s="157">
        <f t="shared" si="9"/>
        <v>0</v>
      </c>
      <c r="AT27" s="157">
        <f t="shared" si="10"/>
        <v>0</v>
      </c>
      <c r="AU27" s="157">
        <f t="shared" si="11"/>
        <v>0</v>
      </c>
      <c r="AV27" s="157"/>
      <c r="AW27" s="157"/>
      <c r="AX27" s="158">
        <f t="shared" si="16"/>
        <v>-100.5592942</v>
      </c>
      <c r="AY27" s="4">
        <f t="shared" si="15"/>
        <v>1.9701358540044611</v>
      </c>
      <c r="AZ27" s="4" t="s">
        <v>110</v>
      </c>
      <c r="BA27" s="4">
        <v>2.1794861261397966</v>
      </c>
      <c r="BB27" t="s">
        <v>110</v>
      </c>
    </row>
    <row r="28" spans="1:53" ht="12.75">
      <c r="A28" s="64" t="s">
        <v>17</v>
      </c>
      <c r="B28" s="65"/>
      <c r="C28" s="65"/>
      <c r="D28" s="65"/>
      <c r="E28" s="65"/>
      <c r="F28" s="65"/>
      <c r="G28" s="65"/>
      <c r="H28" s="65"/>
      <c r="I28" s="65"/>
      <c r="J28" s="65"/>
      <c r="K28" s="65"/>
      <c r="L28" s="71"/>
      <c r="N28" s="3" t="s">
        <v>17</v>
      </c>
      <c r="O28" s="89">
        <v>1</v>
      </c>
      <c r="P28" s="89">
        <v>1</v>
      </c>
      <c r="Q28" s="89">
        <v>1</v>
      </c>
      <c r="R28" s="89">
        <v>1</v>
      </c>
      <c r="S28" s="89">
        <v>1</v>
      </c>
      <c r="T28" s="89">
        <v>1</v>
      </c>
      <c r="U28" s="89">
        <v>1</v>
      </c>
      <c r="V28" s="89">
        <v>1</v>
      </c>
      <c r="W28" s="89">
        <v>1</v>
      </c>
      <c r="X28" s="89">
        <v>1</v>
      </c>
      <c r="Y28" s="39"/>
      <c r="Z28" s="3" t="s">
        <v>17</v>
      </c>
      <c r="AA28" s="209"/>
      <c r="AB28" s="209"/>
      <c r="AC28" s="209"/>
      <c r="AD28" s="209"/>
      <c r="AE28" s="209"/>
      <c r="AF28" s="209">
        <f>T28*G28</f>
        <v>0</v>
      </c>
      <c r="AG28" s="209"/>
      <c r="AH28" s="209"/>
      <c r="AI28" s="209"/>
      <c r="AJ28" s="209"/>
      <c r="AK28" s="215">
        <f t="shared" si="1"/>
        <v>0</v>
      </c>
      <c r="AM28" s="110" t="s">
        <v>17</v>
      </c>
      <c r="AN28" s="157"/>
      <c r="AO28" s="157">
        <f t="shared" si="14"/>
        <v>0</v>
      </c>
      <c r="AP28" s="157">
        <f t="shared" si="6"/>
        <v>0</v>
      </c>
      <c r="AQ28" s="157">
        <f t="shared" si="7"/>
        <v>0</v>
      </c>
      <c r="AR28" s="157">
        <f t="shared" si="8"/>
        <v>0</v>
      </c>
      <c r="AS28" s="157">
        <f t="shared" si="9"/>
        <v>0</v>
      </c>
      <c r="AT28" s="157">
        <f t="shared" si="10"/>
        <v>0</v>
      </c>
      <c r="AU28" s="157">
        <f t="shared" si="11"/>
        <v>0</v>
      </c>
      <c r="AV28" s="157"/>
      <c r="AW28" s="157"/>
      <c r="AX28" s="158">
        <f t="shared" si="16"/>
        <v>0</v>
      </c>
      <c r="AY28" s="4">
        <f t="shared" si="15"/>
        <v>0</v>
      </c>
      <c r="AZ28" s="4"/>
      <c r="BA28" s="4">
        <v>0</v>
      </c>
    </row>
    <row r="29" spans="1:55" ht="12.75">
      <c r="A29" s="64" t="s">
        <v>18</v>
      </c>
      <c r="B29" s="65">
        <v>0.01</v>
      </c>
      <c r="C29" s="65">
        <v>11.18</v>
      </c>
      <c r="D29" s="65">
        <v>-11.41</v>
      </c>
      <c r="E29" s="65">
        <v>-0.17</v>
      </c>
      <c r="F29" s="65"/>
      <c r="G29" s="65"/>
      <c r="H29" s="65"/>
      <c r="I29" s="65">
        <v>-0.11</v>
      </c>
      <c r="J29" s="65"/>
      <c r="K29" s="65"/>
      <c r="L29" s="71">
        <v>-0.5</v>
      </c>
      <c r="N29" s="3" t="s">
        <v>18</v>
      </c>
      <c r="O29" s="94">
        <v>1</v>
      </c>
      <c r="P29" s="94">
        <v>1</v>
      </c>
      <c r="Q29" s="94">
        <v>1</v>
      </c>
      <c r="R29" s="94">
        <v>1</v>
      </c>
      <c r="S29" s="94">
        <v>1</v>
      </c>
      <c r="T29" s="94">
        <v>1</v>
      </c>
      <c r="U29" s="94">
        <v>1</v>
      </c>
      <c r="V29" s="94">
        <v>1</v>
      </c>
      <c r="W29" s="94">
        <v>1</v>
      </c>
      <c r="X29" s="94">
        <v>1</v>
      </c>
      <c r="Y29" s="39"/>
      <c r="Z29" s="3" t="s">
        <v>18</v>
      </c>
      <c r="AA29" s="209">
        <f aca="true" t="shared" si="17" ref="AA29:AJ29">O29*B29*AA18/B18</f>
        <v>0.009999999999999998</v>
      </c>
      <c r="AB29" s="209">
        <f t="shared" si="17"/>
        <v>11.18</v>
      </c>
      <c r="AC29" s="209">
        <f t="shared" si="17"/>
        <v>-11.409999999999998</v>
      </c>
      <c r="AD29" s="209">
        <f t="shared" si="17"/>
        <v>-0.16999999999999998</v>
      </c>
      <c r="AE29" s="209">
        <f t="shared" si="17"/>
        <v>0</v>
      </c>
      <c r="AF29" s="209">
        <f t="shared" si="17"/>
        <v>0</v>
      </c>
      <c r="AG29" s="209">
        <f t="shared" si="17"/>
        <v>0</v>
      </c>
      <c r="AH29" s="209">
        <f t="shared" si="17"/>
        <v>-0.10998925886143932</v>
      </c>
      <c r="AI29" s="209">
        <f t="shared" si="17"/>
        <v>0</v>
      </c>
      <c r="AJ29" s="209">
        <f t="shared" si="17"/>
        <v>0</v>
      </c>
      <c r="AK29" s="215">
        <f t="shared" si="1"/>
        <v>-0.4999892588614382</v>
      </c>
      <c r="AM29" s="110" t="s">
        <v>18</v>
      </c>
      <c r="AN29" s="157">
        <f t="shared" si="5"/>
        <v>0.03857949999999999</v>
      </c>
      <c r="AO29" s="157">
        <f t="shared" si="14"/>
        <v>34.959524599999995</v>
      </c>
      <c r="AP29" s="157">
        <f t="shared" si="6"/>
        <v>-35.67872769999999</v>
      </c>
      <c r="AQ29" s="157">
        <f t="shared" si="7"/>
        <v>-0.38660719999999993</v>
      </c>
      <c r="AR29" s="157">
        <f t="shared" si="8"/>
        <v>0</v>
      </c>
      <c r="AS29" s="157">
        <f t="shared" si="9"/>
        <v>0</v>
      </c>
      <c r="AT29" s="157">
        <f t="shared" si="10"/>
        <v>0</v>
      </c>
      <c r="AU29" s="157">
        <f t="shared" si="11"/>
        <v>-0.52706632867884</v>
      </c>
      <c r="AV29" s="157">
        <f>AI29*AV$6</f>
        <v>0</v>
      </c>
      <c r="AW29" s="157">
        <f>AJ29*AW$6</f>
        <v>0</v>
      </c>
      <c r="AX29" s="158">
        <f t="shared" si="16"/>
        <v>-1.5942971286788368</v>
      </c>
      <c r="AY29" s="4">
        <f t="shared" si="15"/>
        <v>0.031235123119495202</v>
      </c>
      <c r="AZ29" s="4" t="s">
        <v>110</v>
      </c>
      <c r="BA29" s="4">
        <v>0.023130778119453715</v>
      </c>
      <c r="BB29" t="s">
        <v>110</v>
      </c>
      <c r="BC29" t="s">
        <v>129</v>
      </c>
    </row>
    <row r="30" spans="1:55" ht="12.75">
      <c r="A30" s="64" t="s">
        <v>19</v>
      </c>
      <c r="B30" s="65">
        <v>-6.85</v>
      </c>
      <c r="C30" s="65">
        <v>0</v>
      </c>
      <c r="D30" s="65">
        <v>-39.78</v>
      </c>
      <c r="E30" s="65">
        <v>-17.74</v>
      </c>
      <c r="F30" s="65"/>
      <c r="G30" s="65"/>
      <c r="H30" s="65"/>
      <c r="I30" s="65">
        <v>-0.08</v>
      </c>
      <c r="J30" s="65">
        <v>-24.33</v>
      </c>
      <c r="K30" s="65">
        <v>-2.33</v>
      </c>
      <c r="L30" s="71">
        <v>-91.6</v>
      </c>
      <c r="N30" s="3" t="s">
        <v>19</v>
      </c>
      <c r="O30" s="94">
        <v>1</v>
      </c>
      <c r="P30" s="94">
        <v>1</v>
      </c>
      <c r="Q30" s="94">
        <v>1</v>
      </c>
      <c r="R30" s="94">
        <v>1</v>
      </c>
      <c r="S30" s="55"/>
      <c r="T30" s="55"/>
      <c r="U30" s="55"/>
      <c r="V30" s="94">
        <v>1</v>
      </c>
      <c r="W30" s="94">
        <v>1</v>
      </c>
      <c r="X30" s="94">
        <v>1</v>
      </c>
      <c r="Y30" s="39"/>
      <c r="Z30" s="3" t="s">
        <v>19</v>
      </c>
      <c r="AA30" s="209">
        <f>O30*B30</f>
        <v>-6.85</v>
      </c>
      <c r="AB30" s="209"/>
      <c r="AC30" s="209">
        <f>Q30*AB26*D30/C26</f>
        <v>-39.78</v>
      </c>
      <c r="AD30" s="209">
        <f>R30*AD13*E30/E13</f>
        <v>-17.74</v>
      </c>
      <c r="AE30" s="209"/>
      <c r="AF30" s="209"/>
      <c r="AG30" s="209"/>
      <c r="AH30" s="209">
        <f>V30*I30*AH33/I33</f>
        <v>-0.07992463495054168</v>
      </c>
      <c r="AI30" s="209">
        <f>W30*J30*AI33/J33</f>
        <v>-24.33092404101785</v>
      </c>
      <c r="AJ30" s="209">
        <f>X30*K30*AJ33/K33</f>
        <v>-2.330843286283026</v>
      </c>
      <c r="AK30" s="215">
        <f t="shared" si="1"/>
        <v>-91.11169196225143</v>
      </c>
      <c r="AM30" s="110" t="s">
        <v>19</v>
      </c>
      <c r="AN30" s="157">
        <f t="shared" si="5"/>
        <v>-26.426957499999997</v>
      </c>
      <c r="AO30" s="157">
        <f t="shared" si="14"/>
        <v>0</v>
      </c>
      <c r="AP30" s="157">
        <f t="shared" si="6"/>
        <v>-124.39086659999998</v>
      </c>
      <c r="AQ30" s="157">
        <f t="shared" si="7"/>
        <v>-40.34359839999999</v>
      </c>
      <c r="AR30" s="157">
        <f t="shared" si="8"/>
        <v>0</v>
      </c>
      <c r="AS30" s="157">
        <f t="shared" si="9"/>
        <v>0</v>
      </c>
      <c r="AT30" s="157">
        <f t="shared" si="10"/>
        <v>0</v>
      </c>
      <c r="AU30" s="157">
        <f t="shared" si="11"/>
        <v>-0.3829972521902967</v>
      </c>
      <c r="AV30" s="157">
        <f>AI30*AV$6</f>
        <v>-97.52698046345719</v>
      </c>
      <c r="AW30" s="157">
        <f>AJ30*AW$6</f>
        <v>0</v>
      </c>
      <c r="AX30" s="158">
        <f t="shared" si="16"/>
        <v>-289.0714002156475</v>
      </c>
      <c r="AY30" s="4">
        <f t="shared" si="15"/>
        <v>5.663424096826248</v>
      </c>
      <c r="AZ30" s="4" t="s">
        <v>110</v>
      </c>
      <c r="BA30" s="4">
        <v>6.077478968684176</v>
      </c>
      <c r="BB30" t="s">
        <v>110</v>
      </c>
      <c r="BC30" t="s">
        <v>130</v>
      </c>
    </row>
    <row r="31" spans="1:56" ht="13.5" thickBot="1">
      <c r="A31" s="70" t="s">
        <v>20</v>
      </c>
      <c r="B31" s="70">
        <v>-1.03</v>
      </c>
      <c r="C31" s="70"/>
      <c r="D31" s="70">
        <v>-0.02</v>
      </c>
      <c r="E31" s="70">
        <v>-2.69</v>
      </c>
      <c r="F31" s="70"/>
      <c r="G31" s="70"/>
      <c r="H31" s="70">
        <v>-0.13</v>
      </c>
      <c r="I31" s="70">
        <v>-0.02</v>
      </c>
      <c r="J31" s="70">
        <v>-19.7</v>
      </c>
      <c r="K31" s="70">
        <v>-3.77</v>
      </c>
      <c r="L31" s="71">
        <v>-27.35</v>
      </c>
      <c r="N31" s="3" t="s">
        <v>20</v>
      </c>
      <c r="O31" s="94">
        <v>1</v>
      </c>
      <c r="P31" s="94">
        <v>1</v>
      </c>
      <c r="Q31" s="94">
        <v>1</v>
      </c>
      <c r="R31" s="94">
        <v>1</v>
      </c>
      <c r="S31" s="94">
        <v>1</v>
      </c>
      <c r="T31" s="94">
        <v>1</v>
      </c>
      <c r="U31" s="94">
        <v>1</v>
      </c>
      <c r="V31" s="94">
        <v>1</v>
      </c>
      <c r="W31" s="94">
        <v>1</v>
      </c>
      <c r="X31" s="94">
        <v>1</v>
      </c>
      <c r="Y31" s="39"/>
      <c r="Z31" s="3" t="s">
        <v>20</v>
      </c>
      <c r="AA31" s="209">
        <f aca="true" t="shared" si="18" ref="AA31:AG31">O31*B31*AA18/B18</f>
        <v>-1.0299999999999998</v>
      </c>
      <c r="AB31" s="209">
        <f t="shared" si="18"/>
        <v>0</v>
      </c>
      <c r="AC31" s="209">
        <f t="shared" si="18"/>
        <v>-0.02</v>
      </c>
      <c r="AD31" s="209">
        <f t="shared" si="18"/>
        <v>-2.6899999999999995</v>
      </c>
      <c r="AE31" s="209">
        <f t="shared" si="18"/>
        <v>0</v>
      </c>
      <c r="AF31" s="209">
        <f t="shared" si="18"/>
        <v>0</v>
      </c>
      <c r="AG31" s="209">
        <f t="shared" si="18"/>
        <v>-0.13</v>
      </c>
      <c r="AH31" s="209">
        <f>V31*I31*AH33/I33</f>
        <v>-0.01998115873763542</v>
      </c>
      <c r="AI31" s="209">
        <f>W31*J31*AI33/J33</f>
        <v>-19.70074819597417</v>
      </c>
      <c r="AJ31" s="209">
        <f>X31*K31*AJ33/K33</f>
        <v>-3.7713644589214623</v>
      </c>
      <c r="AK31" s="215">
        <f t="shared" si="1"/>
        <v>-27.362093813633265</v>
      </c>
      <c r="AM31" s="114" t="s">
        <v>20</v>
      </c>
      <c r="AN31" s="157">
        <f t="shared" si="5"/>
        <v>-3.973688499999999</v>
      </c>
      <c r="AO31" s="157">
        <f t="shared" si="14"/>
        <v>0</v>
      </c>
      <c r="AP31" s="157">
        <f t="shared" si="6"/>
        <v>-0.0625394</v>
      </c>
      <c r="AQ31" s="157">
        <f t="shared" si="7"/>
        <v>-6.1174903999999986</v>
      </c>
      <c r="AR31" s="157">
        <f t="shared" si="8"/>
        <v>0</v>
      </c>
      <c r="AS31" s="157">
        <f t="shared" si="9"/>
        <v>0</v>
      </c>
      <c r="AT31" s="157">
        <f t="shared" si="10"/>
        <v>0</v>
      </c>
      <c r="AU31" s="157">
        <f t="shared" si="11"/>
        <v>-0.09574931304757417</v>
      </c>
      <c r="AV31" s="157">
        <f>AI31*AV$6</f>
        <v>-78.96759207275407</v>
      </c>
      <c r="AW31" s="157">
        <f>AJ31*AW$7</f>
        <v>-17.805372551624146</v>
      </c>
      <c r="AX31" s="158">
        <f t="shared" si="16"/>
        <v>-107.02243223742579</v>
      </c>
      <c r="AY31" s="4">
        <f t="shared" si="15"/>
        <v>2.0967602508661543</v>
      </c>
      <c r="AZ31" s="4" t="s">
        <v>110</v>
      </c>
      <c r="BA31" s="4">
        <v>2.1084452622185825</v>
      </c>
      <c r="BB31" t="s">
        <v>110</v>
      </c>
      <c r="BC31" s="187">
        <f>-SUM(AV30:AW31)*100/AY16</f>
        <v>3.8050886711133325</v>
      </c>
      <c r="BD31" s="187">
        <f>-SUM(AV30:AW31)*100/BA16</f>
        <v>4.209617722860302</v>
      </c>
    </row>
    <row r="32" spans="1:54" ht="15.75" thickBot="1">
      <c r="A32" s="3"/>
      <c r="B32" s="135"/>
      <c r="C32" s="135"/>
      <c r="D32" s="135"/>
      <c r="E32" s="135"/>
      <c r="F32" s="135"/>
      <c r="G32" s="135"/>
      <c r="H32" s="135"/>
      <c r="I32" s="135"/>
      <c r="J32" s="135"/>
      <c r="K32" s="135"/>
      <c r="L32" s="119"/>
      <c r="N32" s="12" t="s">
        <v>96</v>
      </c>
      <c r="O32" s="53"/>
      <c r="P32" s="53"/>
      <c r="Q32" s="53"/>
      <c r="R32" s="53"/>
      <c r="S32" s="53"/>
      <c r="T32" s="53"/>
      <c r="U32" s="53"/>
      <c r="V32" s="53"/>
      <c r="W32" s="53"/>
      <c r="X32" s="54"/>
      <c r="Y32" s="39"/>
      <c r="Z32" s="116" t="s">
        <v>78</v>
      </c>
      <c r="AA32" s="217">
        <f>AA18+SUM(AA20:AA31)</f>
        <v>55.67999999999989</v>
      </c>
      <c r="AB32" s="128">
        <f aca="true" t="shared" si="19" ref="AB32:AK32">AB18+SUM(AB20:AB31)</f>
        <v>2.4599999999999227</v>
      </c>
      <c r="AC32" s="128">
        <f t="shared" si="19"/>
        <v>662.9000000000001</v>
      </c>
      <c r="AD32" s="128">
        <f t="shared" si="19"/>
        <v>280.74</v>
      </c>
      <c r="AE32" s="128">
        <f>AE18+SUM(AE20:AE31)</f>
        <v>0</v>
      </c>
      <c r="AF32" s="128">
        <f>AF18+SUM(AF20:AF31)</f>
        <v>0</v>
      </c>
      <c r="AG32" s="128">
        <f>AG18+SUM(AG20:AG31)</f>
        <v>3.5300000000000047</v>
      </c>
      <c r="AH32" s="128">
        <f t="shared" si="19"/>
        <v>63.67011275918751</v>
      </c>
      <c r="AI32" s="128">
        <f t="shared" si="19"/>
        <v>263.684497763008</v>
      </c>
      <c r="AJ32" s="128">
        <f t="shared" si="19"/>
        <v>55.34680225479551</v>
      </c>
      <c r="AK32" s="216">
        <f t="shared" si="19"/>
        <v>1388.0114127769912</v>
      </c>
      <c r="AM32" s="116" t="s">
        <v>78</v>
      </c>
      <c r="AN32" s="159">
        <f>AN19+SUM(AN20:AN31)</f>
        <v>214.69491749999997</v>
      </c>
      <c r="AO32" s="149">
        <f aca="true" t="shared" si="20" ref="AO32:AU32">AO19+SUM(AO20:AO31)</f>
        <v>7.723615899999913</v>
      </c>
      <c r="AP32" s="149">
        <f t="shared" si="20"/>
        <v>2072.8996827</v>
      </c>
      <c r="AQ32" s="149">
        <f t="shared" si="20"/>
        <v>638.4249367999998</v>
      </c>
      <c r="AR32" s="149">
        <f t="shared" si="20"/>
        <v>0</v>
      </c>
      <c r="AS32" s="149">
        <f t="shared" si="20"/>
        <v>0</v>
      </c>
      <c r="AT32" s="149">
        <f t="shared" si="20"/>
        <v>0</v>
      </c>
      <c r="AU32" s="149">
        <f t="shared" si="20"/>
        <v>304.9136874</v>
      </c>
      <c r="AV32" s="149">
        <f>AV19+SUM(AV20:AV31)</f>
        <v>1096.1685395537525</v>
      </c>
      <c r="AW32" s="149">
        <f>AW19+SUM(AW20:AW31)</f>
        <v>259.1222099584119</v>
      </c>
      <c r="AX32" s="150">
        <f>AX19+SUM(AX20:AX31)</f>
        <v>4592.078002791631</v>
      </c>
      <c r="AY32" s="190"/>
      <c r="AZ32" s="191"/>
      <c r="BA32" s="191"/>
      <c r="BB32" s="124"/>
    </row>
    <row r="33" spans="1:54" s="14" customFormat="1" ht="15.75" thickBot="1">
      <c r="A33" s="66" t="s">
        <v>21</v>
      </c>
      <c r="B33" s="67">
        <v>55.67</v>
      </c>
      <c r="C33" s="67">
        <v>2.47</v>
      </c>
      <c r="D33" s="67">
        <v>662.91</v>
      </c>
      <c r="E33" s="67">
        <v>280.74</v>
      </c>
      <c r="F33" s="67"/>
      <c r="G33" s="67"/>
      <c r="H33" s="67">
        <v>3.53</v>
      </c>
      <c r="I33" s="67">
        <v>63.69</v>
      </c>
      <c r="J33" s="67">
        <v>263.3</v>
      </c>
      <c r="K33" s="67">
        <v>55.26</v>
      </c>
      <c r="L33" s="68">
        <v>1387.51</v>
      </c>
      <c r="M33" s="38"/>
      <c r="N33" s="12" t="s">
        <v>97</v>
      </c>
      <c r="O33" s="13"/>
      <c r="P33" s="13"/>
      <c r="Q33" s="13"/>
      <c r="R33" s="13"/>
      <c r="S33" s="13"/>
      <c r="T33" s="13"/>
      <c r="U33" s="13"/>
      <c r="V33" s="13"/>
      <c r="W33" s="13"/>
      <c r="X33" s="13"/>
      <c r="Y33" s="37"/>
      <c r="Z33" s="12" t="s">
        <v>76</v>
      </c>
      <c r="AA33" s="128">
        <f aca="true" t="shared" si="21" ref="AA33:AK33">AA34+AA48+AA57+AA63</f>
        <v>55.650000000000006</v>
      </c>
      <c r="AB33" s="128">
        <f t="shared" si="21"/>
        <v>2.4699999999999998</v>
      </c>
      <c r="AC33" s="128">
        <f t="shared" si="21"/>
        <v>662.9100000000001</v>
      </c>
      <c r="AD33" s="128">
        <f t="shared" si="21"/>
        <v>280.7300000000001</v>
      </c>
      <c r="AE33" s="128">
        <f t="shared" si="21"/>
        <v>0</v>
      </c>
      <c r="AF33" s="128">
        <f t="shared" si="21"/>
        <v>0</v>
      </c>
      <c r="AG33" s="128">
        <f t="shared" si="21"/>
        <v>3.5300000000000002</v>
      </c>
      <c r="AH33" s="128">
        <f t="shared" si="21"/>
        <v>63.629999999999995</v>
      </c>
      <c r="AI33" s="128">
        <f t="shared" si="21"/>
        <v>263.31</v>
      </c>
      <c r="AJ33" s="128">
        <f t="shared" si="21"/>
        <v>55.28</v>
      </c>
      <c r="AK33" s="131">
        <f t="shared" si="21"/>
        <v>1387.51</v>
      </c>
      <c r="AL33" s="38"/>
      <c r="AM33" s="12" t="s">
        <v>76</v>
      </c>
      <c r="AN33" s="149">
        <f aca="true" t="shared" si="22" ref="AN33:AX33">AN34+AN48+AN57+AN63</f>
        <v>214.69491749999997</v>
      </c>
      <c r="AO33" s="149">
        <f t="shared" si="22"/>
        <v>7.723615899999999</v>
      </c>
      <c r="AP33" s="149">
        <f t="shared" si="22"/>
        <v>2072.8996827</v>
      </c>
      <c r="AQ33" s="149">
        <f t="shared" si="22"/>
        <v>638.4249367999998</v>
      </c>
      <c r="AR33" s="149">
        <f t="shared" si="22"/>
        <v>0</v>
      </c>
      <c r="AS33" s="149">
        <f t="shared" si="22"/>
        <v>0</v>
      </c>
      <c r="AT33" s="149">
        <f t="shared" si="22"/>
        <v>0</v>
      </c>
      <c r="AU33" s="149">
        <f t="shared" si="22"/>
        <v>304.9136874</v>
      </c>
      <c r="AV33" s="149">
        <f t="shared" si="22"/>
        <v>1094.611706787984</v>
      </c>
      <c r="AW33" s="149">
        <f t="shared" si="22"/>
        <v>258.809455703647</v>
      </c>
      <c r="AX33" s="150">
        <f t="shared" si="22"/>
        <v>4592.078002791631</v>
      </c>
      <c r="AY33" s="192"/>
      <c r="AZ33" s="193"/>
      <c r="BA33" s="194"/>
      <c r="BB33" s="183"/>
    </row>
    <row r="34" spans="1:54" ht="17.25" customHeight="1">
      <c r="A34" s="71" t="s">
        <v>22</v>
      </c>
      <c r="B34" s="72">
        <v>40.93</v>
      </c>
      <c r="C34" s="72">
        <v>0.01</v>
      </c>
      <c r="D34" s="72">
        <v>45.03</v>
      </c>
      <c r="E34" s="72">
        <v>92.26</v>
      </c>
      <c r="F34" s="72"/>
      <c r="G34" s="72"/>
      <c r="H34" s="72">
        <v>0.16</v>
      </c>
      <c r="I34" s="72">
        <v>19.84</v>
      </c>
      <c r="J34" s="72">
        <v>107.49</v>
      </c>
      <c r="K34" s="72">
        <v>17.23</v>
      </c>
      <c r="L34" s="71">
        <v>322.95</v>
      </c>
      <c r="N34" s="5" t="s">
        <v>22</v>
      </c>
      <c r="O34" s="15"/>
      <c r="P34" s="15"/>
      <c r="Q34" s="15"/>
      <c r="R34" s="15"/>
      <c r="S34" s="15"/>
      <c r="T34" s="15"/>
      <c r="U34" s="15"/>
      <c r="V34" s="15"/>
      <c r="W34" s="15"/>
      <c r="X34" s="15"/>
      <c r="Y34" s="40"/>
      <c r="Z34" s="5" t="s">
        <v>22</v>
      </c>
      <c r="AA34" s="218">
        <f>SUM(AA35:AA47)</f>
        <v>40.92</v>
      </c>
      <c r="AB34" s="218">
        <f>SUM(AB35:AB47)</f>
        <v>0.01</v>
      </c>
      <c r="AC34" s="218">
        <f aca="true" t="shared" si="23" ref="AC34:AK34">SUM(AC35:AC47)</f>
        <v>45.029999999999994</v>
      </c>
      <c r="AD34" s="218">
        <f t="shared" si="23"/>
        <v>92.25000000000003</v>
      </c>
      <c r="AE34" s="218">
        <f t="shared" si="23"/>
        <v>0</v>
      </c>
      <c r="AF34" s="218">
        <f t="shared" si="23"/>
        <v>0</v>
      </c>
      <c r="AG34" s="218">
        <f t="shared" si="23"/>
        <v>0.16</v>
      </c>
      <c r="AH34" s="218">
        <f t="shared" si="23"/>
        <v>19.77</v>
      </c>
      <c r="AI34" s="218">
        <f t="shared" si="23"/>
        <v>107.49000000000001</v>
      </c>
      <c r="AJ34" s="218">
        <f t="shared" si="23"/>
        <v>17.240000000000002</v>
      </c>
      <c r="AK34" s="215">
        <f t="shared" si="23"/>
        <v>322.87</v>
      </c>
      <c r="AM34" s="109" t="s">
        <v>22</v>
      </c>
      <c r="AN34" s="160">
        <f aca="true" t="shared" si="24" ref="AN34:AX34">SUM(AN35:AN47)</f>
        <v>157.867314</v>
      </c>
      <c r="AO34" s="160">
        <f t="shared" si="24"/>
        <v>0.0312697</v>
      </c>
      <c r="AP34" s="160">
        <f t="shared" si="24"/>
        <v>140.8074591</v>
      </c>
      <c r="AQ34" s="160">
        <f t="shared" si="24"/>
        <v>209.79126</v>
      </c>
      <c r="AR34" s="160">
        <f t="shared" si="24"/>
        <v>0</v>
      </c>
      <c r="AS34" s="160">
        <f t="shared" si="24"/>
        <v>0</v>
      </c>
      <c r="AT34" s="160">
        <f t="shared" si="24"/>
        <v>0</v>
      </c>
      <c r="AU34" s="160">
        <f t="shared" si="24"/>
        <v>94.7374446</v>
      </c>
      <c r="AV34" s="160">
        <f t="shared" si="24"/>
        <v>446.84900825126437</v>
      </c>
      <c r="AW34" s="160">
        <f t="shared" si="24"/>
        <v>80.71409219122421</v>
      </c>
      <c r="AX34" s="158">
        <f t="shared" si="24"/>
        <v>1130.7978478424884</v>
      </c>
      <c r="AY34" s="15">
        <f aca="true" t="shared" si="25" ref="AY34:AY67">100*AX34/AX$19</f>
        <v>22.15434586518376</v>
      </c>
      <c r="AZ34" s="4" t="s">
        <v>110</v>
      </c>
      <c r="BA34" s="4">
        <v>21.094330710907403</v>
      </c>
      <c r="BB34" t="s">
        <v>110</v>
      </c>
    </row>
    <row r="35" spans="1:54" ht="12.75">
      <c r="A35" s="64" t="s">
        <v>23</v>
      </c>
      <c r="B35" s="65">
        <v>16.86</v>
      </c>
      <c r="C35" s="65"/>
      <c r="D35" s="65">
        <v>1.21</v>
      </c>
      <c r="E35" s="65">
        <v>9.83</v>
      </c>
      <c r="F35" s="65"/>
      <c r="G35" s="65"/>
      <c r="H35" s="65"/>
      <c r="I35" s="65">
        <v>0.04</v>
      </c>
      <c r="J35" s="65">
        <v>12.93</v>
      </c>
      <c r="K35" s="65">
        <v>0.34</v>
      </c>
      <c r="L35" s="71">
        <v>41.2</v>
      </c>
      <c r="N35" s="3" t="s">
        <v>23</v>
      </c>
      <c r="O35" s="30">
        <v>1</v>
      </c>
      <c r="P35" s="30">
        <v>1</v>
      </c>
      <c r="Q35" s="30">
        <v>1</v>
      </c>
      <c r="R35" s="30">
        <v>1</v>
      </c>
      <c r="S35" s="30">
        <v>1</v>
      </c>
      <c r="T35" s="30">
        <v>1</v>
      </c>
      <c r="U35" s="30">
        <v>1</v>
      </c>
      <c r="V35" s="30">
        <v>1</v>
      </c>
      <c r="W35" s="30">
        <v>1</v>
      </c>
      <c r="X35" s="30">
        <v>1</v>
      </c>
      <c r="Y35" s="36"/>
      <c r="Z35" s="3" t="s">
        <v>23</v>
      </c>
      <c r="AA35" s="209">
        <f aca="true" t="shared" si="26" ref="AA35:AA47">O35*B35</f>
        <v>16.86</v>
      </c>
      <c r="AB35" s="209"/>
      <c r="AC35" s="209">
        <f aca="true" t="shared" si="27" ref="AC35:AC47">Q35*D35</f>
        <v>1.21</v>
      </c>
      <c r="AD35" s="209">
        <f aca="true" t="shared" si="28" ref="AD35:AD47">R35*E35</f>
        <v>9.83</v>
      </c>
      <c r="AE35" s="209"/>
      <c r="AF35" s="209"/>
      <c r="AG35" s="209"/>
      <c r="AH35" s="209"/>
      <c r="AI35" s="209">
        <f aca="true" t="shared" si="29" ref="AI35:AI47">W35*J35</f>
        <v>12.93</v>
      </c>
      <c r="AJ35" s="209">
        <f aca="true" t="shared" si="30" ref="AJ35:AJ47">X35*K35</f>
        <v>0.34</v>
      </c>
      <c r="AK35" s="215">
        <f t="shared" si="1"/>
        <v>41.17</v>
      </c>
      <c r="AM35" s="110" t="s">
        <v>23</v>
      </c>
      <c r="AN35" s="157">
        <f aca="true" t="shared" si="31" ref="AN35:AN47">AA35*AN$6</f>
        <v>65.045037</v>
      </c>
      <c r="AO35" s="157">
        <f aca="true" t="shared" si="32" ref="AO35:AO47">AB35*AO$6</f>
        <v>0</v>
      </c>
      <c r="AP35" s="157">
        <f aca="true" t="shared" si="33" ref="AP35:AP47">AC35*AP$6</f>
        <v>3.7836336999999993</v>
      </c>
      <c r="AQ35" s="157">
        <f aca="true" t="shared" si="34" ref="AQ35:AQ47">AD35*AQ$6</f>
        <v>22.354992799999998</v>
      </c>
      <c r="AR35" s="157">
        <f aca="true" t="shared" si="35" ref="AR35:AR47">AE35*AR$6</f>
        <v>0</v>
      </c>
      <c r="AS35" s="157">
        <f aca="true" t="shared" si="36" ref="AS35:AS47">AF35*AS$6</f>
        <v>0</v>
      </c>
      <c r="AT35" s="157">
        <f aca="true" t="shared" si="37" ref="AT35:AT47">AG35*AT$6</f>
        <v>0</v>
      </c>
      <c r="AU35" s="157">
        <f aca="true" t="shared" si="38" ref="AU35:AU67">AH35*AU$6</f>
        <v>0</v>
      </c>
      <c r="AV35" s="157">
        <f>AV$32*AI35/AI$32</f>
        <v>53.751583186239166</v>
      </c>
      <c r="AW35" s="157">
        <f>AW$32*AJ35/AJ$32</f>
        <v>1.5918092427503616</v>
      </c>
      <c r="AX35" s="158">
        <f aca="true" t="shared" si="39" ref="AX35:AX47">SUM(AN35:AW35)</f>
        <v>146.52705592898954</v>
      </c>
      <c r="AY35" s="4">
        <f t="shared" si="25"/>
        <v>2.870726259208562</v>
      </c>
      <c r="AZ35" s="4" t="s">
        <v>110</v>
      </c>
      <c r="BA35" s="4">
        <v>3.0473360039843156</v>
      </c>
      <c r="BB35" t="s">
        <v>110</v>
      </c>
    </row>
    <row r="36" spans="1:54" ht="12.75">
      <c r="A36" s="64" t="s">
        <v>24</v>
      </c>
      <c r="B36" s="65">
        <v>2.28</v>
      </c>
      <c r="C36" s="65">
        <v>0.01</v>
      </c>
      <c r="D36" s="65">
        <v>8.85</v>
      </c>
      <c r="E36" s="65">
        <v>20.61</v>
      </c>
      <c r="F36" s="65"/>
      <c r="G36" s="65"/>
      <c r="H36" s="65"/>
      <c r="I36" s="65">
        <v>0.49</v>
      </c>
      <c r="J36" s="65">
        <v>17.81</v>
      </c>
      <c r="K36" s="65">
        <v>3.46</v>
      </c>
      <c r="L36" s="71">
        <v>53.52</v>
      </c>
      <c r="N36" s="3" t="s">
        <v>24</v>
      </c>
      <c r="O36" s="30">
        <v>1</v>
      </c>
      <c r="P36" s="30">
        <v>1</v>
      </c>
      <c r="Q36" s="30">
        <v>1</v>
      </c>
      <c r="R36" s="30">
        <v>1</v>
      </c>
      <c r="S36" s="30">
        <v>1</v>
      </c>
      <c r="T36" s="30">
        <v>1</v>
      </c>
      <c r="U36" s="30">
        <v>1</v>
      </c>
      <c r="V36" s="30">
        <v>1</v>
      </c>
      <c r="W36" s="30">
        <v>1</v>
      </c>
      <c r="X36" s="30">
        <v>1</v>
      </c>
      <c r="Y36" s="36"/>
      <c r="Z36" s="3" t="s">
        <v>24</v>
      </c>
      <c r="AA36" s="209">
        <f t="shared" si="26"/>
        <v>2.28</v>
      </c>
      <c r="AB36" s="209">
        <f>P36*C36</f>
        <v>0.01</v>
      </c>
      <c r="AC36" s="209">
        <f t="shared" si="27"/>
        <v>8.85</v>
      </c>
      <c r="AD36" s="209">
        <f t="shared" si="28"/>
        <v>20.61</v>
      </c>
      <c r="AE36" s="209"/>
      <c r="AF36" s="209"/>
      <c r="AG36" s="209"/>
      <c r="AH36" s="209">
        <f>V36*I36</f>
        <v>0.49</v>
      </c>
      <c r="AI36" s="209">
        <f t="shared" si="29"/>
        <v>17.81</v>
      </c>
      <c r="AJ36" s="209">
        <f t="shared" si="30"/>
        <v>3.46</v>
      </c>
      <c r="AK36" s="215">
        <f t="shared" si="1"/>
        <v>53.51</v>
      </c>
      <c r="AM36" s="110" t="s">
        <v>24</v>
      </c>
      <c r="AN36" s="157">
        <f t="shared" si="31"/>
        <v>8.796126</v>
      </c>
      <c r="AO36" s="157">
        <f t="shared" si="32"/>
        <v>0.0312697</v>
      </c>
      <c r="AP36" s="157">
        <f t="shared" si="33"/>
        <v>27.673684499999997</v>
      </c>
      <c r="AQ36" s="157">
        <f t="shared" si="34"/>
        <v>46.870437599999995</v>
      </c>
      <c r="AR36" s="157">
        <f t="shared" si="35"/>
        <v>0</v>
      </c>
      <c r="AS36" s="157">
        <f t="shared" si="36"/>
        <v>0</v>
      </c>
      <c r="AT36" s="157">
        <f t="shared" si="37"/>
        <v>0</v>
      </c>
      <c r="AU36" s="157">
        <f t="shared" si="38"/>
        <v>2.3480702</v>
      </c>
      <c r="AV36" s="157">
        <f aca="true" t="shared" si="40" ref="AV36:AV47">AV$32*AI36/AI$32</f>
        <v>74.03833693324977</v>
      </c>
      <c r="AW36" s="157">
        <f aca="true" t="shared" si="41" ref="AW36:AW47">AW$32*AJ36/AJ$32</f>
        <v>16.198999940930147</v>
      </c>
      <c r="AX36" s="158">
        <f t="shared" si="39"/>
        <v>175.9569248741799</v>
      </c>
      <c r="AY36" s="4">
        <f t="shared" si="25"/>
        <v>3.447309860444418</v>
      </c>
      <c r="AZ36" s="4" t="s">
        <v>110</v>
      </c>
      <c r="BA36" s="4">
        <v>3.524979961153192</v>
      </c>
      <c r="BB36" t="s">
        <v>110</v>
      </c>
    </row>
    <row r="37" spans="1:54" ht="12.75">
      <c r="A37" s="64" t="s">
        <v>25</v>
      </c>
      <c r="B37" s="65">
        <v>0.65</v>
      </c>
      <c r="C37" s="65"/>
      <c r="D37" s="65">
        <v>1.08</v>
      </c>
      <c r="E37" s="65">
        <v>3.31</v>
      </c>
      <c r="F37" s="65"/>
      <c r="G37" s="65"/>
      <c r="H37" s="65"/>
      <c r="I37" s="65">
        <v>0.03</v>
      </c>
      <c r="J37" s="65">
        <v>9.56</v>
      </c>
      <c r="K37" s="65">
        <v>0.23</v>
      </c>
      <c r="L37" s="71">
        <v>14.87</v>
      </c>
      <c r="N37" s="3" t="s">
        <v>25</v>
      </c>
      <c r="O37" s="30">
        <v>1</v>
      </c>
      <c r="P37" s="30">
        <v>1</v>
      </c>
      <c r="Q37" s="30">
        <v>1</v>
      </c>
      <c r="R37" s="30">
        <v>1</v>
      </c>
      <c r="S37" s="30">
        <v>1</v>
      </c>
      <c r="T37" s="30">
        <v>1</v>
      </c>
      <c r="U37" s="30">
        <v>1</v>
      </c>
      <c r="V37" s="30">
        <v>1</v>
      </c>
      <c r="W37" s="30">
        <v>1</v>
      </c>
      <c r="X37" s="30">
        <v>1</v>
      </c>
      <c r="Y37" s="36"/>
      <c r="Z37" s="3" t="s">
        <v>25</v>
      </c>
      <c r="AA37" s="209">
        <f t="shared" si="26"/>
        <v>0.65</v>
      </c>
      <c r="AB37" s="209"/>
      <c r="AC37" s="209">
        <f t="shared" si="27"/>
        <v>1.08</v>
      </c>
      <c r="AD37" s="209">
        <f t="shared" si="28"/>
        <v>3.31</v>
      </c>
      <c r="AE37" s="209"/>
      <c r="AF37" s="209"/>
      <c r="AG37" s="209"/>
      <c r="AH37" s="209"/>
      <c r="AI37" s="209">
        <f t="shared" si="29"/>
        <v>9.56</v>
      </c>
      <c r="AJ37" s="209">
        <f t="shared" si="30"/>
        <v>0.23</v>
      </c>
      <c r="AK37" s="215">
        <f t="shared" si="1"/>
        <v>14.830000000000002</v>
      </c>
      <c r="AM37" s="110" t="s">
        <v>25</v>
      </c>
      <c r="AN37" s="157">
        <f t="shared" si="31"/>
        <v>2.5076674999999997</v>
      </c>
      <c r="AO37" s="157">
        <f t="shared" si="32"/>
        <v>0</v>
      </c>
      <c r="AP37" s="157">
        <f t="shared" si="33"/>
        <v>3.3771275999999997</v>
      </c>
      <c r="AQ37" s="157">
        <f t="shared" si="34"/>
        <v>7.527469599999999</v>
      </c>
      <c r="AR37" s="157">
        <f t="shared" si="35"/>
        <v>0</v>
      </c>
      <c r="AS37" s="157">
        <f t="shared" si="36"/>
        <v>0</v>
      </c>
      <c r="AT37" s="157">
        <f t="shared" si="37"/>
        <v>0</v>
      </c>
      <c r="AU37" s="157">
        <f t="shared" si="38"/>
        <v>0</v>
      </c>
      <c r="AV37" s="157">
        <f t="shared" si="40"/>
        <v>39.742083160127336</v>
      </c>
      <c r="AW37" s="157">
        <f t="shared" si="41"/>
        <v>1.076812134801715</v>
      </c>
      <c r="AX37" s="158">
        <f t="shared" si="39"/>
        <v>54.231159994929044</v>
      </c>
      <c r="AY37" s="4">
        <f t="shared" si="25"/>
        <v>1.0624851095092718</v>
      </c>
      <c r="AZ37" s="4" t="s">
        <v>110</v>
      </c>
      <c r="BA37" s="4">
        <v>1.080858284388233</v>
      </c>
      <c r="BB37" t="s">
        <v>110</v>
      </c>
    </row>
    <row r="38" spans="1:54" ht="12.75">
      <c r="A38" s="64" t="s">
        <v>26</v>
      </c>
      <c r="B38" s="65">
        <v>6.68</v>
      </c>
      <c r="C38" s="65"/>
      <c r="D38" s="65">
        <v>11.03</v>
      </c>
      <c r="E38" s="65">
        <v>16.26</v>
      </c>
      <c r="F38" s="65"/>
      <c r="G38" s="65"/>
      <c r="H38" s="65"/>
      <c r="I38" s="65">
        <v>1.51</v>
      </c>
      <c r="J38" s="65">
        <v>7.76</v>
      </c>
      <c r="K38" s="65">
        <v>0.12</v>
      </c>
      <c r="L38" s="71">
        <v>43.34</v>
      </c>
      <c r="N38" s="3" t="s">
        <v>26</v>
      </c>
      <c r="O38" s="30">
        <v>1</v>
      </c>
      <c r="P38" s="30">
        <v>1</v>
      </c>
      <c r="Q38" s="30">
        <v>1</v>
      </c>
      <c r="R38" s="30">
        <v>1</v>
      </c>
      <c r="S38" s="30">
        <v>1</v>
      </c>
      <c r="T38" s="30">
        <v>1</v>
      </c>
      <c r="U38" s="30">
        <v>1</v>
      </c>
      <c r="V38" s="30">
        <v>1</v>
      </c>
      <c r="W38" s="30">
        <v>1</v>
      </c>
      <c r="X38" s="30">
        <v>1</v>
      </c>
      <c r="Y38" s="36"/>
      <c r="Z38" s="3" t="s">
        <v>26</v>
      </c>
      <c r="AA38" s="209">
        <f t="shared" si="26"/>
        <v>6.68</v>
      </c>
      <c r="AB38" s="209"/>
      <c r="AC38" s="209">
        <f t="shared" si="27"/>
        <v>11.03</v>
      </c>
      <c r="AD38" s="209">
        <f t="shared" si="28"/>
        <v>16.26</v>
      </c>
      <c r="AE38" s="209"/>
      <c r="AF38" s="209"/>
      <c r="AG38" s="209"/>
      <c r="AH38" s="209">
        <f>V38*I38</f>
        <v>1.51</v>
      </c>
      <c r="AI38" s="209">
        <f t="shared" si="29"/>
        <v>7.76</v>
      </c>
      <c r="AJ38" s="209">
        <f t="shared" si="30"/>
        <v>0.12</v>
      </c>
      <c r="AK38" s="215">
        <f t="shared" si="1"/>
        <v>43.35999999999999</v>
      </c>
      <c r="AM38" s="110" t="s">
        <v>26</v>
      </c>
      <c r="AN38" s="157">
        <f t="shared" si="31"/>
        <v>25.771105999999996</v>
      </c>
      <c r="AO38" s="157">
        <f t="shared" si="32"/>
        <v>0</v>
      </c>
      <c r="AP38" s="157">
        <f t="shared" si="33"/>
        <v>34.490479099999995</v>
      </c>
      <c r="AQ38" s="157">
        <f t="shared" si="34"/>
        <v>36.9778416</v>
      </c>
      <c r="AR38" s="157">
        <f t="shared" si="35"/>
        <v>0</v>
      </c>
      <c r="AS38" s="157">
        <f t="shared" si="36"/>
        <v>0</v>
      </c>
      <c r="AT38" s="157">
        <f t="shared" si="37"/>
        <v>0</v>
      </c>
      <c r="AU38" s="157">
        <f t="shared" si="38"/>
        <v>7.2358898</v>
      </c>
      <c r="AV38" s="157">
        <f t="shared" si="40"/>
        <v>32.259264155082434</v>
      </c>
      <c r="AW38" s="157">
        <f t="shared" si="41"/>
        <v>0.5618150268530687</v>
      </c>
      <c r="AX38" s="158">
        <f t="shared" si="39"/>
        <v>137.2963956819355</v>
      </c>
      <c r="AY38" s="4">
        <f t="shared" si="25"/>
        <v>2.68988116822487</v>
      </c>
      <c r="AZ38" s="4" t="s">
        <v>110</v>
      </c>
      <c r="BA38" s="4">
        <v>2.743510990340653</v>
      </c>
      <c r="BB38" t="s">
        <v>110</v>
      </c>
    </row>
    <row r="39" spans="1:54" ht="12.75">
      <c r="A39" s="64" t="s">
        <v>27</v>
      </c>
      <c r="B39" s="65">
        <v>0.13</v>
      </c>
      <c r="C39" s="65"/>
      <c r="D39" s="65">
        <v>0.66</v>
      </c>
      <c r="E39" s="65">
        <v>3.07</v>
      </c>
      <c r="F39" s="65"/>
      <c r="G39" s="65"/>
      <c r="H39" s="65"/>
      <c r="I39" s="65"/>
      <c r="J39" s="65">
        <v>4.2</v>
      </c>
      <c r="K39" s="65">
        <v>0.21</v>
      </c>
      <c r="L39" s="71">
        <v>8.27</v>
      </c>
      <c r="N39" s="3" t="s">
        <v>27</v>
      </c>
      <c r="O39" s="30">
        <v>1</v>
      </c>
      <c r="P39" s="30">
        <v>1</v>
      </c>
      <c r="Q39" s="30">
        <v>1</v>
      </c>
      <c r="R39" s="30">
        <v>1</v>
      </c>
      <c r="S39" s="30">
        <v>1</v>
      </c>
      <c r="T39" s="30">
        <v>1</v>
      </c>
      <c r="U39" s="30">
        <v>1</v>
      </c>
      <c r="V39" s="30">
        <v>1</v>
      </c>
      <c r="W39" s="30">
        <v>1</v>
      </c>
      <c r="X39" s="30">
        <v>1</v>
      </c>
      <c r="Y39" s="36"/>
      <c r="Z39" s="3" t="s">
        <v>27</v>
      </c>
      <c r="AA39" s="209">
        <f t="shared" si="26"/>
        <v>0.13</v>
      </c>
      <c r="AB39" s="209"/>
      <c r="AC39" s="209">
        <f t="shared" si="27"/>
        <v>0.66</v>
      </c>
      <c r="AD39" s="209">
        <f t="shared" si="28"/>
        <v>3.07</v>
      </c>
      <c r="AE39" s="209"/>
      <c r="AF39" s="209"/>
      <c r="AG39" s="209"/>
      <c r="AH39" s="209"/>
      <c r="AI39" s="209">
        <f t="shared" si="29"/>
        <v>4.2</v>
      </c>
      <c r="AJ39" s="209">
        <f t="shared" si="30"/>
        <v>0.21</v>
      </c>
      <c r="AK39" s="215">
        <f t="shared" si="1"/>
        <v>8.270000000000001</v>
      </c>
      <c r="AM39" s="110" t="s">
        <v>27</v>
      </c>
      <c r="AN39" s="157">
        <f t="shared" si="31"/>
        <v>0.5015335</v>
      </c>
      <c r="AO39" s="157">
        <f t="shared" si="32"/>
        <v>0</v>
      </c>
      <c r="AP39" s="157">
        <f t="shared" si="33"/>
        <v>2.0638001999999998</v>
      </c>
      <c r="AQ39" s="157">
        <f t="shared" si="34"/>
        <v>6.981671199999999</v>
      </c>
      <c r="AR39" s="157">
        <f t="shared" si="35"/>
        <v>0</v>
      </c>
      <c r="AS39" s="157">
        <f t="shared" si="36"/>
        <v>0</v>
      </c>
      <c r="AT39" s="157">
        <f t="shared" si="37"/>
        <v>0</v>
      </c>
      <c r="AU39" s="157">
        <f t="shared" si="38"/>
        <v>0</v>
      </c>
      <c r="AV39" s="157">
        <f t="shared" si="40"/>
        <v>17.459911011771425</v>
      </c>
      <c r="AW39" s="157">
        <f t="shared" si="41"/>
        <v>0.9831762969928702</v>
      </c>
      <c r="AX39" s="158">
        <f t="shared" si="39"/>
        <v>27.990092208764292</v>
      </c>
      <c r="AY39" s="4">
        <f t="shared" si="25"/>
        <v>0.5483758080849522</v>
      </c>
      <c r="AZ39" s="4" t="s">
        <v>110</v>
      </c>
      <c r="BA39" s="4">
        <v>0.5629021823454292</v>
      </c>
      <c r="BB39" t="s">
        <v>110</v>
      </c>
    </row>
    <row r="40" spans="1:54" ht="12.75">
      <c r="A40" s="64" t="s">
        <v>28</v>
      </c>
      <c r="B40" s="65">
        <v>0.23</v>
      </c>
      <c r="C40" s="65"/>
      <c r="D40" s="65">
        <v>2.39</v>
      </c>
      <c r="E40" s="65">
        <v>7.99</v>
      </c>
      <c r="F40" s="65"/>
      <c r="G40" s="65"/>
      <c r="H40" s="65"/>
      <c r="I40" s="65">
        <v>0.03</v>
      </c>
      <c r="J40" s="65">
        <v>9.55</v>
      </c>
      <c r="K40" s="65">
        <v>0.36</v>
      </c>
      <c r="L40" s="71">
        <v>20.56</v>
      </c>
      <c r="N40" s="3" t="s">
        <v>28</v>
      </c>
      <c r="O40" s="30">
        <v>1</v>
      </c>
      <c r="P40" s="30">
        <v>1</v>
      </c>
      <c r="Q40" s="30">
        <v>1</v>
      </c>
      <c r="R40" s="30">
        <v>1</v>
      </c>
      <c r="S40" s="30">
        <v>1</v>
      </c>
      <c r="T40" s="30">
        <v>1</v>
      </c>
      <c r="U40" s="30">
        <v>1</v>
      </c>
      <c r="V40" s="30">
        <v>1</v>
      </c>
      <c r="W40" s="30">
        <v>1</v>
      </c>
      <c r="X40" s="30">
        <v>1</v>
      </c>
      <c r="Y40" s="36"/>
      <c r="Z40" s="3" t="s">
        <v>28</v>
      </c>
      <c r="AA40" s="209">
        <f t="shared" si="26"/>
        <v>0.23</v>
      </c>
      <c r="AB40" s="209"/>
      <c r="AC40" s="209">
        <f t="shared" si="27"/>
        <v>2.39</v>
      </c>
      <c r="AD40" s="209">
        <f t="shared" si="28"/>
        <v>7.99</v>
      </c>
      <c r="AE40" s="209"/>
      <c r="AF40" s="209"/>
      <c r="AG40" s="209"/>
      <c r="AH40" s="209">
        <f>V40*I40</f>
        <v>0.03</v>
      </c>
      <c r="AI40" s="209">
        <f t="shared" si="29"/>
        <v>9.55</v>
      </c>
      <c r="AJ40" s="209">
        <f t="shared" si="30"/>
        <v>0.36</v>
      </c>
      <c r="AK40" s="215">
        <f t="shared" si="1"/>
        <v>20.549999999999997</v>
      </c>
      <c r="AM40" s="110" t="s">
        <v>28</v>
      </c>
      <c r="AN40" s="157">
        <f t="shared" si="31"/>
        <v>0.8873285</v>
      </c>
      <c r="AO40" s="157">
        <f t="shared" si="32"/>
        <v>0</v>
      </c>
      <c r="AP40" s="157">
        <f t="shared" si="33"/>
        <v>7.473458299999999</v>
      </c>
      <c r="AQ40" s="157">
        <f t="shared" si="34"/>
        <v>18.170538399999998</v>
      </c>
      <c r="AR40" s="157">
        <f t="shared" si="35"/>
        <v>0</v>
      </c>
      <c r="AS40" s="157">
        <f t="shared" si="36"/>
        <v>0</v>
      </c>
      <c r="AT40" s="157">
        <f t="shared" si="37"/>
        <v>0</v>
      </c>
      <c r="AU40" s="157">
        <f t="shared" si="38"/>
        <v>0.14375939999999998</v>
      </c>
      <c r="AV40" s="157">
        <f t="shared" si="40"/>
        <v>39.700511943432645</v>
      </c>
      <c r="AW40" s="157">
        <f t="shared" si="41"/>
        <v>1.685445080559206</v>
      </c>
      <c r="AX40" s="158">
        <f t="shared" si="39"/>
        <v>68.06104162399184</v>
      </c>
      <c r="AY40" s="4">
        <f t="shared" si="25"/>
        <v>1.3334371470192392</v>
      </c>
      <c r="AZ40" s="4" t="s">
        <v>110</v>
      </c>
      <c r="BA40" s="4">
        <v>1.3749365515447527</v>
      </c>
      <c r="BB40" t="s">
        <v>110</v>
      </c>
    </row>
    <row r="41" spans="1:54" ht="12.75">
      <c r="A41" s="64" t="s">
        <v>29</v>
      </c>
      <c r="B41" s="65">
        <v>0.16</v>
      </c>
      <c r="C41" s="65"/>
      <c r="D41" s="65">
        <v>0.81</v>
      </c>
      <c r="E41" s="65">
        <v>0.55</v>
      </c>
      <c r="F41" s="65"/>
      <c r="G41" s="65"/>
      <c r="H41" s="65"/>
      <c r="I41" s="65"/>
      <c r="J41" s="65">
        <v>1.43</v>
      </c>
      <c r="K41" s="65">
        <v>0.28</v>
      </c>
      <c r="L41" s="71">
        <v>3.24</v>
      </c>
      <c r="N41" s="3" t="s">
        <v>29</v>
      </c>
      <c r="O41" s="30">
        <v>1</v>
      </c>
      <c r="P41" s="30">
        <v>1</v>
      </c>
      <c r="Q41" s="30">
        <v>1</v>
      </c>
      <c r="R41" s="30">
        <v>1</v>
      </c>
      <c r="S41" s="30">
        <v>1</v>
      </c>
      <c r="T41" s="30">
        <v>1</v>
      </c>
      <c r="U41" s="30">
        <v>1</v>
      </c>
      <c r="V41" s="30">
        <v>1</v>
      </c>
      <c r="W41" s="30">
        <v>1</v>
      </c>
      <c r="X41" s="30">
        <v>1</v>
      </c>
      <c r="Y41" s="36"/>
      <c r="Z41" s="3" t="s">
        <v>29</v>
      </c>
      <c r="AA41" s="209">
        <f t="shared" si="26"/>
        <v>0.16</v>
      </c>
      <c r="AB41" s="209"/>
      <c r="AC41" s="209">
        <f t="shared" si="27"/>
        <v>0.81</v>
      </c>
      <c r="AD41" s="209">
        <f t="shared" si="28"/>
        <v>0.55</v>
      </c>
      <c r="AE41" s="209"/>
      <c r="AF41" s="209"/>
      <c r="AG41" s="209"/>
      <c r="AH41" s="209"/>
      <c r="AI41" s="209">
        <f t="shared" si="29"/>
        <v>1.43</v>
      </c>
      <c r="AJ41" s="209">
        <f t="shared" si="30"/>
        <v>0.28</v>
      </c>
      <c r="AK41" s="215">
        <f t="shared" si="1"/>
        <v>3.2300000000000004</v>
      </c>
      <c r="AM41" s="110" t="s">
        <v>29</v>
      </c>
      <c r="AN41" s="157">
        <f t="shared" si="31"/>
        <v>0.6172719999999999</v>
      </c>
      <c r="AO41" s="157">
        <f t="shared" si="32"/>
        <v>0</v>
      </c>
      <c r="AP41" s="157">
        <f t="shared" si="33"/>
        <v>2.5328456999999998</v>
      </c>
      <c r="AQ41" s="157">
        <f t="shared" si="34"/>
        <v>1.250788</v>
      </c>
      <c r="AR41" s="157">
        <f t="shared" si="35"/>
        <v>0</v>
      </c>
      <c r="AS41" s="157">
        <f t="shared" si="36"/>
        <v>0</v>
      </c>
      <c r="AT41" s="157">
        <f t="shared" si="37"/>
        <v>0</v>
      </c>
      <c r="AU41" s="157">
        <f t="shared" si="38"/>
        <v>0</v>
      </c>
      <c r="AV41" s="157">
        <f t="shared" si="40"/>
        <v>5.9446839873412225</v>
      </c>
      <c r="AW41" s="157">
        <f t="shared" si="41"/>
        <v>1.310901729323827</v>
      </c>
      <c r="AX41" s="158">
        <f t="shared" si="39"/>
        <v>11.656491416665048</v>
      </c>
      <c r="AY41" s="4">
        <f t="shared" si="25"/>
        <v>0.22837144845301693</v>
      </c>
      <c r="AZ41" s="4" t="s">
        <v>110</v>
      </c>
      <c r="BA41" s="4">
        <v>0.2335041742683908</v>
      </c>
      <c r="BB41" t="s">
        <v>110</v>
      </c>
    </row>
    <row r="42" spans="1:54" ht="12.75">
      <c r="A42" s="64" t="s">
        <v>30</v>
      </c>
      <c r="B42" s="65">
        <v>2.26</v>
      </c>
      <c r="C42" s="65"/>
      <c r="D42" s="65">
        <v>3.9</v>
      </c>
      <c r="E42" s="65">
        <v>12.46</v>
      </c>
      <c r="F42" s="65"/>
      <c r="G42" s="65"/>
      <c r="H42" s="65"/>
      <c r="I42" s="65">
        <v>0.9</v>
      </c>
      <c r="J42" s="65">
        <v>10.1</v>
      </c>
      <c r="K42" s="65">
        <v>0.62</v>
      </c>
      <c r="L42" s="71">
        <v>30.24</v>
      </c>
      <c r="N42" s="3" t="s">
        <v>30</v>
      </c>
      <c r="O42" s="30">
        <v>1</v>
      </c>
      <c r="P42" s="30">
        <v>1</v>
      </c>
      <c r="Q42" s="30">
        <v>1</v>
      </c>
      <c r="R42" s="30">
        <v>1</v>
      </c>
      <c r="S42" s="30">
        <v>1</v>
      </c>
      <c r="T42" s="30">
        <v>1</v>
      </c>
      <c r="U42" s="30">
        <v>1</v>
      </c>
      <c r="V42" s="30">
        <v>1</v>
      </c>
      <c r="W42" s="30">
        <v>1</v>
      </c>
      <c r="X42" s="30">
        <v>1</v>
      </c>
      <c r="Y42" s="36"/>
      <c r="Z42" s="3" t="s">
        <v>30</v>
      </c>
      <c r="AA42" s="209">
        <f t="shared" si="26"/>
        <v>2.26</v>
      </c>
      <c r="AB42" s="209"/>
      <c r="AC42" s="209">
        <f t="shared" si="27"/>
        <v>3.9</v>
      </c>
      <c r="AD42" s="209">
        <f t="shared" si="28"/>
        <v>12.46</v>
      </c>
      <c r="AE42" s="209"/>
      <c r="AF42" s="209"/>
      <c r="AG42" s="209"/>
      <c r="AH42" s="209">
        <f aca="true" t="shared" si="42" ref="AH42:AH47">V42*I42</f>
        <v>0.9</v>
      </c>
      <c r="AI42" s="209">
        <f t="shared" si="29"/>
        <v>10.1</v>
      </c>
      <c r="AJ42" s="209">
        <f t="shared" si="30"/>
        <v>0.62</v>
      </c>
      <c r="AK42" s="215">
        <f t="shared" si="1"/>
        <v>30.24</v>
      </c>
      <c r="AM42" s="110" t="s">
        <v>30</v>
      </c>
      <c r="AN42" s="157">
        <f t="shared" si="31"/>
        <v>8.718967</v>
      </c>
      <c r="AO42" s="157">
        <f t="shared" si="32"/>
        <v>0</v>
      </c>
      <c r="AP42" s="157">
        <f t="shared" si="33"/>
        <v>12.195182999999998</v>
      </c>
      <c r="AQ42" s="157">
        <f t="shared" si="34"/>
        <v>28.3360336</v>
      </c>
      <c r="AR42" s="157">
        <f t="shared" si="35"/>
        <v>0</v>
      </c>
      <c r="AS42" s="157">
        <f t="shared" si="36"/>
        <v>0</v>
      </c>
      <c r="AT42" s="157">
        <f t="shared" si="37"/>
        <v>0</v>
      </c>
      <c r="AU42" s="157">
        <f t="shared" si="38"/>
        <v>4.3127819999999994</v>
      </c>
      <c r="AV42" s="157">
        <f t="shared" si="40"/>
        <v>41.9869288616408</v>
      </c>
      <c r="AW42" s="157">
        <f t="shared" si="41"/>
        <v>2.902710972074188</v>
      </c>
      <c r="AX42" s="158">
        <f t="shared" si="39"/>
        <v>98.452605433715</v>
      </c>
      <c r="AY42" s="4">
        <f t="shared" si="25"/>
        <v>1.92886206519453</v>
      </c>
      <c r="AZ42" s="4" t="s">
        <v>110</v>
      </c>
      <c r="BA42" s="4">
        <v>1.9328176100441077</v>
      </c>
      <c r="BB42" t="s">
        <v>110</v>
      </c>
    </row>
    <row r="43" spans="1:54" ht="12.75">
      <c r="A43" s="64" t="s">
        <v>31</v>
      </c>
      <c r="B43" s="65">
        <v>1.27</v>
      </c>
      <c r="C43" s="65"/>
      <c r="D43" s="65">
        <v>2.04</v>
      </c>
      <c r="E43" s="65">
        <v>9</v>
      </c>
      <c r="F43" s="65"/>
      <c r="G43" s="65"/>
      <c r="H43" s="65"/>
      <c r="I43" s="65">
        <v>11.3</v>
      </c>
      <c r="J43" s="65">
        <v>12.98</v>
      </c>
      <c r="K43" s="65">
        <v>1.63</v>
      </c>
      <c r="L43" s="71">
        <v>38.23</v>
      </c>
      <c r="N43" s="3" t="s">
        <v>31</v>
      </c>
      <c r="O43" s="30">
        <v>1</v>
      </c>
      <c r="P43" s="30">
        <v>1</v>
      </c>
      <c r="Q43" s="30">
        <v>1</v>
      </c>
      <c r="R43" s="30">
        <v>1</v>
      </c>
      <c r="S43" s="30">
        <v>1</v>
      </c>
      <c r="T43" s="30">
        <v>1</v>
      </c>
      <c r="U43" s="30">
        <v>1</v>
      </c>
      <c r="V43" s="30">
        <v>1</v>
      </c>
      <c r="W43" s="30">
        <v>1</v>
      </c>
      <c r="X43" s="30">
        <v>1</v>
      </c>
      <c r="Y43" s="36"/>
      <c r="Z43" s="3" t="s">
        <v>31</v>
      </c>
      <c r="AA43" s="209">
        <f t="shared" si="26"/>
        <v>1.27</v>
      </c>
      <c r="AB43" s="209"/>
      <c r="AC43" s="209">
        <f t="shared" si="27"/>
        <v>2.04</v>
      </c>
      <c r="AD43" s="209">
        <f t="shared" si="28"/>
        <v>9</v>
      </c>
      <c r="AE43" s="209"/>
      <c r="AF43" s="209"/>
      <c r="AG43" s="209"/>
      <c r="AH43" s="209">
        <f t="shared" si="42"/>
        <v>11.3</v>
      </c>
      <c r="AI43" s="209">
        <f t="shared" si="29"/>
        <v>12.98</v>
      </c>
      <c r="AJ43" s="209">
        <f t="shared" si="30"/>
        <v>1.63</v>
      </c>
      <c r="AK43" s="215">
        <f t="shared" si="1"/>
        <v>38.220000000000006</v>
      </c>
      <c r="AM43" s="110" t="s">
        <v>31</v>
      </c>
      <c r="AN43" s="157">
        <f t="shared" si="31"/>
        <v>4.8995964999999995</v>
      </c>
      <c r="AO43" s="157">
        <f t="shared" si="32"/>
        <v>0</v>
      </c>
      <c r="AP43" s="157">
        <f t="shared" si="33"/>
        <v>6.379018799999999</v>
      </c>
      <c r="AQ43" s="157">
        <f t="shared" si="34"/>
        <v>20.467439999999996</v>
      </c>
      <c r="AR43" s="157">
        <f t="shared" si="35"/>
        <v>0</v>
      </c>
      <c r="AS43" s="157">
        <f t="shared" si="36"/>
        <v>0</v>
      </c>
      <c r="AT43" s="157">
        <f t="shared" si="37"/>
        <v>0</v>
      </c>
      <c r="AU43" s="157">
        <f t="shared" si="38"/>
        <v>54.149374</v>
      </c>
      <c r="AV43" s="157">
        <f t="shared" si="40"/>
        <v>53.95943926971264</v>
      </c>
      <c r="AW43" s="157">
        <f t="shared" si="41"/>
        <v>7.6313207814208495</v>
      </c>
      <c r="AX43" s="158">
        <f t="shared" si="39"/>
        <v>147.48618935113348</v>
      </c>
      <c r="AY43" s="4">
        <f t="shared" si="25"/>
        <v>2.889517392924969</v>
      </c>
      <c r="AZ43" s="4" t="s">
        <v>110</v>
      </c>
      <c r="BA43" s="4">
        <v>1.8678049152373926</v>
      </c>
      <c r="BB43" t="s">
        <v>110</v>
      </c>
    </row>
    <row r="44" spans="1:54" ht="12.75">
      <c r="A44" s="64" t="s">
        <v>32</v>
      </c>
      <c r="B44" s="65">
        <v>0.14</v>
      </c>
      <c r="C44" s="65"/>
      <c r="D44" s="65">
        <v>0.31</v>
      </c>
      <c r="E44" s="65">
        <v>0.4</v>
      </c>
      <c r="F44" s="65"/>
      <c r="G44" s="65"/>
      <c r="H44" s="65"/>
      <c r="I44" s="65">
        <v>3.15</v>
      </c>
      <c r="J44" s="65">
        <v>2.37</v>
      </c>
      <c r="K44" s="65">
        <v>0.33</v>
      </c>
      <c r="L44" s="71">
        <v>6.71</v>
      </c>
      <c r="N44" s="3" t="s">
        <v>32</v>
      </c>
      <c r="O44" s="30">
        <v>1</v>
      </c>
      <c r="P44" s="30">
        <v>1</v>
      </c>
      <c r="Q44" s="30">
        <v>1</v>
      </c>
      <c r="R44" s="30">
        <v>1</v>
      </c>
      <c r="S44" s="30">
        <v>1</v>
      </c>
      <c r="T44" s="30">
        <v>1</v>
      </c>
      <c r="U44" s="30">
        <v>1</v>
      </c>
      <c r="V44" s="30">
        <v>1</v>
      </c>
      <c r="W44" s="30">
        <v>1</v>
      </c>
      <c r="X44" s="30">
        <v>1</v>
      </c>
      <c r="Y44" s="36"/>
      <c r="Z44" s="3" t="s">
        <v>32</v>
      </c>
      <c r="AA44" s="209">
        <f t="shared" si="26"/>
        <v>0.14</v>
      </c>
      <c r="AB44" s="209"/>
      <c r="AC44" s="209">
        <f t="shared" si="27"/>
        <v>0.31</v>
      </c>
      <c r="AD44" s="209">
        <f t="shared" si="28"/>
        <v>0.4</v>
      </c>
      <c r="AE44" s="209"/>
      <c r="AF44" s="209"/>
      <c r="AG44" s="209"/>
      <c r="AH44" s="209">
        <f t="shared" si="42"/>
        <v>3.15</v>
      </c>
      <c r="AI44" s="209">
        <f t="shared" si="29"/>
        <v>2.37</v>
      </c>
      <c r="AJ44" s="209">
        <f t="shared" si="30"/>
        <v>0.33</v>
      </c>
      <c r="AK44" s="215">
        <f t="shared" si="1"/>
        <v>6.7</v>
      </c>
      <c r="AM44" s="110" t="s">
        <v>32</v>
      </c>
      <c r="AN44" s="157">
        <f t="shared" si="31"/>
        <v>0.5401130000000001</v>
      </c>
      <c r="AO44" s="157">
        <f t="shared" si="32"/>
        <v>0</v>
      </c>
      <c r="AP44" s="157">
        <f t="shared" si="33"/>
        <v>0.9693606999999999</v>
      </c>
      <c r="AQ44" s="157">
        <f t="shared" si="34"/>
        <v>0.9096639999999999</v>
      </c>
      <c r="AR44" s="157">
        <f t="shared" si="35"/>
        <v>0</v>
      </c>
      <c r="AS44" s="157">
        <f t="shared" si="36"/>
        <v>0</v>
      </c>
      <c r="AT44" s="157">
        <f t="shared" si="37"/>
        <v>0</v>
      </c>
      <c r="AU44" s="157">
        <f t="shared" si="38"/>
        <v>15.094736999999999</v>
      </c>
      <c r="AV44" s="157">
        <f t="shared" si="40"/>
        <v>9.852378356642447</v>
      </c>
      <c r="AW44" s="157">
        <f t="shared" si="41"/>
        <v>1.544991323845939</v>
      </c>
      <c r="AX44" s="158">
        <f t="shared" si="39"/>
        <v>28.911244380488384</v>
      </c>
      <c r="AY44" s="4">
        <f t="shared" si="25"/>
        <v>0.5664228213913335</v>
      </c>
      <c r="AZ44" s="4" t="s">
        <v>110</v>
      </c>
      <c r="BA44" s="4">
        <v>0.2704680160743456</v>
      </c>
      <c r="BB44" t="s">
        <v>110</v>
      </c>
    </row>
    <row r="45" spans="1:54" ht="12.75">
      <c r="A45" s="64" t="s">
        <v>33</v>
      </c>
      <c r="B45" s="65">
        <v>2.16</v>
      </c>
      <c r="C45" s="65"/>
      <c r="D45" s="65">
        <v>3.39</v>
      </c>
      <c r="E45" s="65">
        <v>0.81</v>
      </c>
      <c r="F45" s="65"/>
      <c r="G45" s="65"/>
      <c r="H45" s="65"/>
      <c r="I45" s="65">
        <v>0.12</v>
      </c>
      <c r="J45" s="65">
        <v>1.57</v>
      </c>
      <c r="K45" s="65">
        <v>0.06</v>
      </c>
      <c r="L45" s="71">
        <v>8.11</v>
      </c>
      <c r="N45" s="3" t="s">
        <v>33</v>
      </c>
      <c r="O45" s="30">
        <v>1</v>
      </c>
      <c r="P45" s="30">
        <v>1</v>
      </c>
      <c r="Q45" s="30">
        <v>1</v>
      </c>
      <c r="R45" s="30">
        <v>1</v>
      </c>
      <c r="S45" s="30">
        <v>1</v>
      </c>
      <c r="T45" s="30">
        <v>1</v>
      </c>
      <c r="U45" s="30">
        <v>1</v>
      </c>
      <c r="V45" s="30">
        <v>1</v>
      </c>
      <c r="W45" s="30">
        <v>1</v>
      </c>
      <c r="X45" s="30">
        <v>1</v>
      </c>
      <c r="Y45" s="36"/>
      <c r="Z45" s="3" t="s">
        <v>33</v>
      </c>
      <c r="AA45" s="209">
        <f t="shared" si="26"/>
        <v>2.16</v>
      </c>
      <c r="AB45" s="209"/>
      <c r="AC45" s="209">
        <f t="shared" si="27"/>
        <v>3.39</v>
      </c>
      <c r="AD45" s="209">
        <f t="shared" si="28"/>
        <v>0.81</v>
      </c>
      <c r="AE45" s="209"/>
      <c r="AF45" s="209"/>
      <c r="AG45" s="209"/>
      <c r="AH45" s="209">
        <f t="shared" si="42"/>
        <v>0.12</v>
      </c>
      <c r="AI45" s="209">
        <f t="shared" si="29"/>
        <v>1.57</v>
      </c>
      <c r="AJ45" s="209">
        <f t="shared" si="30"/>
        <v>0.06</v>
      </c>
      <c r="AK45" s="215">
        <f t="shared" si="1"/>
        <v>8.110000000000001</v>
      </c>
      <c r="AM45" s="110" t="s">
        <v>33</v>
      </c>
      <c r="AN45" s="157">
        <f t="shared" si="31"/>
        <v>8.333172</v>
      </c>
      <c r="AO45" s="157">
        <f t="shared" si="32"/>
        <v>0</v>
      </c>
      <c r="AP45" s="157">
        <f t="shared" si="33"/>
        <v>10.600428299999999</v>
      </c>
      <c r="AQ45" s="157">
        <f t="shared" si="34"/>
        <v>1.8420695999999999</v>
      </c>
      <c r="AR45" s="157">
        <f t="shared" si="35"/>
        <v>0</v>
      </c>
      <c r="AS45" s="157">
        <f t="shared" si="36"/>
        <v>0</v>
      </c>
      <c r="AT45" s="157">
        <f t="shared" si="37"/>
        <v>0</v>
      </c>
      <c r="AU45" s="157">
        <f t="shared" si="38"/>
        <v>0.5750375999999999</v>
      </c>
      <c r="AV45" s="157">
        <f t="shared" si="40"/>
        <v>6.5266810210669375</v>
      </c>
      <c r="AW45" s="157">
        <f t="shared" si="41"/>
        <v>0.28090751342653436</v>
      </c>
      <c r="AX45" s="158">
        <f t="shared" si="39"/>
        <v>28.15829603449347</v>
      </c>
      <c r="AY45" s="4">
        <f t="shared" si="25"/>
        <v>0.5516712209106497</v>
      </c>
      <c r="AZ45" s="4" t="s">
        <v>110</v>
      </c>
      <c r="BA45" s="4">
        <v>0.5818535847240011</v>
      </c>
      <c r="BB45" t="s">
        <v>110</v>
      </c>
    </row>
    <row r="46" spans="1:54" ht="12.75">
      <c r="A46" s="64" t="s">
        <v>34</v>
      </c>
      <c r="B46" s="65">
        <v>0.33</v>
      </c>
      <c r="C46" s="65"/>
      <c r="D46" s="65">
        <v>0.87</v>
      </c>
      <c r="E46" s="65">
        <v>3.15</v>
      </c>
      <c r="F46" s="65"/>
      <c r="G46" s="65"/>
      <c r="H46" s="65"/>
      <c r="I46" s="65">
        <v>0.07</v>
      </c>
      <c r="J46" s="65">
        <v>3.64</v>
      </c>
      <c r="K46" s="65">
        <v>0.1</v>
      </c>
      <c r="L46" s="71">
        <v>8.15</v>
      </c>
      <c r="N46" s="3" t="s">
        <v>34</v>
      </c>
      <c r="O46" s="30">
        <v>1</v>
      </c>
      <c r="P46" s="30">
        <v>1</v>
      </c>
      <c r="Q46" s="30">
        <v>1</v>
      </c>
      <c r="R46" s="30">
        <v>1</v>
      </c>
      <c r="S46" s="30">
        <v>1</v>
      </c>
      <c r="T46" s="30">
        <v>1</v>
      </c>
      <c r="U46" s="30">
        <v>1</v>
      </c>
      <c r="V46" s="30">
        <v>1</v>
      </c>
      <c r="W46" s="30">
        <v>1</v>
      </c>
      <c r="X46" s="30">
        <v>1</v>
      </c>
      <c r="Y46" s="36"/>
      <c r="Z46" s="3" t="s">
        <v>34</v>
      </c>
      <c r="AA46" s="209">
        <f t="shared" si="26"/>
        <v>0.33</v>
      </c>
      <c r="AB46" s="209"/>
      <c r="AC46" s="209">
        <f t="shared" si="27"/>
        <v>0.87</v>
      </c>
      <c r="AD46" s="209">
        <f t="shared" si="28"/>
        <v>3.15</v>
      </c>
      <c r="AE46" s="209"/>
      <c r="AF46" s="209"/>
      <c r="AG46" s="209"/>
      <c r="AH46" s="209">
        <f t="shared" si="42"/>
        <v>0.07</v>
      </c>
      <c r="AI46" s="209">
        <f t="shared" si="29"/>
        <v>3.64</v>
      </c>
      <c r="AJ46" s="209">
        <f t="shared" si="30"/>
        <v>0.1</v>
      </c>
      <c r="AK46" s="215">
        <f t="shared" si="1"/>
        <v>8.16</v>
      </c>
      <c r="AM46" s="110" t="s">
        <v>34</v>
      </c>
      <c r="AN46" s="157">
        <f t="shared" si="31"/>
        <v>1.2731235</v>
      </c>
      <c r="AO46" s="157">
        <f t="shared" si="32"/>
        <v>0</v>
      </c>
      <c r="AP46" s="157">
        <f t="shared" si="33"/>
        <v>2.7204638999999995</v>
      </c>
      <c r="AQ46" s="157">
        <f t="shared" si="34"/>
        <v>7.1636039999999985</v>
      </c>
      <c r="AR46" s="157">
        <f t="shared" si="35"/>
        <v>0</v>
      </c>
      <c r="AS46" s="157">
        <f t="shared" si="36"/>
        <v>0</v>
      </c>
      <c r="AT46" s="157">
        <f t="shared" si="37"/>
        <v>0</v>
      </c>
      <c r="AU46" s="157">
        <f t="shared" si="38"/>
        <v>0.33543860000000003</v>
      </c>
      <c r="AV46" s="157">
        <f t="shared" si="40"/>
        <v>15.131922876868568</v>
      </c>
      <c r="AW46" s="157">
        <f t="shared" si="41"/>
        <v>0.46817918904422395</v>
      </c>
      <c r="AX46" s="158">
        <f t="shared" si="39"/>
        <v>27.09273206591279</v>
      </c>
      <c r="AY46" s="191">
        <f t="shared" si="25"/>
        <v>0.5307949230414462</v>
      </c>
      <c r="AZ46" s="191" t="s">
        <v>110</v>
      </c>
      <c r="BA46" s="4">
        <v>0.543683264372239</v>
      </c>
      <c r="BB46" t="s">
        <v>110</v>
      </c>
    </row>
    <row r="47" spans="1:54" ht="13.5" thickBot="1">
      <c r="A47" s="73" t="s">
        <v>35</v>
      </c>
      <c r="B47" s="74">
        <v>7.77</v>
      </c>
      <c r="C47" s="74"/>
      <c r="D47" s="74">
        <v>8.49</v>
      </c>
      <c r="E47" s="74">
        <v>4.81</v>
      </c>
      <c r="F47" s="74"/>
      <c r="G47" s="74"/>
      <c r="H47" s="74">
        <v>0.16</v>
      </c>
      <c r="I47" s="74">
        <v>2.2</v>
      </c>
      <c r="J47" s="74">
        <v>13.59</v>
      </c>
      <c r="K47" s="74">
        <v>9.5</v>
      </c>
      <c r="L47" s="96">
        <v>46.5</v>
      </c>
      <c r="N47" s="6" t="s">
        <v>35</v>
      </c>
      <c r="O47" s="30">
        <v>1</v>
      </c>
      <c r="P47" s="30">
        <v>1</v>
      </c>
      <c r="Q47" s="30">
        <v>1</v>
      </c>
      <c r="R47" s="30">
        <v>1</v>
      </c>
      <c r="S47" s="30">
        <v>1</v>
      </c>
      <c r="T47" s="30">
        <v>1</v>
      </c>
      <c r="U47" s="30">
        <v>1</v>
      </c>
      <c r="V47" s="30">
        <v>1</v>
      </c>
      <c r="W47" s="30">
        <v>1</v>
      </c>
      <c r="X47" s="30">
        <v>1</v>
      </c>
      <c r="Y47" s="41"/>
      <c r="Z47" s="6" t="s">
        <v>35</v>
      </c>
      <c r="AA47" s="219">
        <f t="shared" si="26"/>
        <v>7.77</v>
      </c>
      <c r="AB47" s="219"/>
      <c r="AC47" s="219">
        <f t="shared" si="27"/>
        <v>8.49</v>
      </c>
      <c r="AD47" s="219">
        <f t="shared" si="28"/>
        <v>4.81</v>
      </c>
      <c r="AE47" s="219"/>
      <c r="AF47" s="219"/>
      <c r="AG47" s="219">
        <f>U47*H47</f>
        <v>0.16</v>
      </c>
      <c r="AH47" s="219">
        <f t="shared" si="42"/>
        <v>2.2</v>
      </c>
      <c r="AI47" s="219">
        <f t="shared" si="29"/>
        <v>13.59</v>
      </c>
      <c r="AJ47" s="219">
        <f t="shared" si="30"/>
        <v>9.5</v>
      </c>
      <c r="AK47" s="220">
        <f t="shared" si="1"/>
        <v>46.519999999999996</v>
      </c>
      <c r="AM47" s="111" t="s">
        <v>35</v>
      </c>
      <c r="AN47" s="205">
        <f t="shared" si="31"/>
        <v>29.976271499999996</v>
      </c>
      <c r="AO47" s="162">
        <f t="shared" si="32"/>
        <v>0</v>
      </c>
      <c r="AP47" s="162">
        <f t="shared" si="33"/>
        <v>26.547975299999997</v>
      </c>
      <c r="AQ47" s="162">
        <f t="shared" si="34"/>
        <v>10.938709599999997</v>
      </c>
      <c r="AR47" s="162">
        <f t="shared" si="35"/>
        <v>0</v>
      </c>
      <c r="AS47" s="162">
        <f t="shared" si="36"/>
        <v>0</v>
      </c>
      <c r="AT47" s="162">
        <f t="shared" si="37"/>
        <v>0</v>
      </c>
      <c r="AU47" s="162">
        <f t="shared" si="38"/>
        <v>10.542356</v>
      </c>
      <c r="AV47" s="162">
        <f t="shared" si="40"/>
        <v>56.495283488088965</v>
      </c>
      <c r="AW47" s="162">
        <f t="shared" si="41"/>
        <v>44.47702295920128</v>
      </c>
      <c r="AX47" s="163">
        <f t="shared" si="39"/>
        <v>178.97761884729022</v>
      </c>
      <c r="AY47" s="195">
        <f t="shared" si="25"/>
        <v>3.5064906407765046</v>
      </c>
      <c r="AZ47" s="193" t="s">
        <v>110</v>
      </c>
      <c r="BA47" s="193">
        <v>3.3296751724303517</v>
      </c>
      <c r="BB47" s="182" t="s">
        <v>110</v>
      </c>
    </row>
    <row r="48" spans="1:54" ht="16.5" customHeight="1">
      <c r="A48" s="71" t="s">
        <v>36</v>
      </c>
      <c r="B48" s="72">
        <v>0</v>
      </c>
      <c r="C48" s="72"/>
      <c r="D48" s="72">
        <v>432.49</v>
      </c>
      <c r="E48" s="75">
        <v>1.89</v>
      </c>
      <c r="F48" s="72"/>
      <c r="G48" s="72"/>
      <c r="H48" s="72"/>
      <c r="I48" s="72">
        <v>7.85</v>
      </c>
      <c r="J48" s="72">
        <v>6.54</v>
      </c>
      <c r="K48" s="72"/>
      <c r="L48" s="71">
        <v>448.78</v>
      </c>
      <c r="N48" s="5" t="s">
        <v>36</v>
      </c>
      <c r="O48" s="15"/>
      <c r="P48" s="15"/>
      <c r="Q48" s="15"/>
      <c r="R48" s="16"/>
      <c r="S48" s="15"/>
      <c r="T48" s="15"/>
      <c r="U48" s="15"/>
      <c r="V48" s="15"/>
      <c r="W48" s="15"/>
      <c r="X48" s="15"/>
      <c r="Y48" s="40"/>
      <c r="Z48" s="5" t="s">
        <v>36</v>
      </c>
      <c r="AA48" s="207"/>
      <c r="AB48" s="207">
        <f aca="true" t="shared" si="43" ref="AB48:AK48">SUM(AB49:AB56)</f>
        <v>0</v>
      </c>
      <c r="AC48" s="218">
        <f t="shared" si="43"/>
        <v>432.49</v>
      </c>
      <c r="AD48" s="207">
        <f t="shared" si="43"/>
        <v>1.8900000000000001</v>
      </c>
      <c r="AE48" s="207">
        <f t="shared" si="43"/>
        <v>0</v>
      </c>
      <c r="AF48" s="207">
        <f t="shared" si="43"/>
        <v>0</v>
      </c>
      <c r="AG48" s="207">
        <f t="shared" si="43"/>
        <v>0</v>
      </c>
      <c r="AH48" s="207">
        <f t="shared" si="43"/>
        <v>7.85</v>
      </c>
      <c r="AI48" s="218">
        <f t="shared" si="43"/>
        <v>6.55</v>
      </c>
      <c r="AJ48" s="218">
        <f t="shared" si="43"/>
        <v>0</v>
      </c>
      <c r="AK48" s="215">
        <f t="shared" si="43"/>
        <v>448.78000000000003</v>
      </c>
      <c r="AM48" s="201" t="s">
        <v>36</v>
      </c>
      <c r="AN48" s="206"/>
      <c r="AO48" s="160"/>
      <c r="AP48" s="160">
        <f aca="true" t="shared" si="44" ref="AP48:AX48">SUM(AP49:AP56)</f>
        <v>1352.3832553</v>
      </c>
      <c r="AQ48" s="160">
        <f t="shared" si="44"/>
        <v>4.2981624</v>
      </c>
      <c r="AR48" s="160">
        <f t="shared" si="44"/>
        <v>0</v>
      </c>
      <c r="AS48" s="160">
        <f t="shared" si="44"/>
        <v>0</v>
      </c>
      <c r="AT48" s="160">
        <f t="shared" si="44"/>
        <v>0</v>
      </c>
      <c r="AU48" s="160">
        <f t="shared" si="44"/>
        <v>37.617042999999995</v>
      </c>
      <c r="AV48" s="160">
        <f t="shared" si="44"/>
        <v>27.22914693502448</v>
      </c>
      <c r="AW48" s="160">
        <f t="shared" si="44"/>
        <v>0</v>
      </c>
      <c r="AX48" s="158">
        <f t="shared" si="44"/>
        <v>1421.5276076350244</v>
      </c>
      <c r="AY48" s="15">
        <f t="shared" si="25"/>
        <v>27.85026018270271</v>
      </c>
      <c r="AZ48" s="4" t="s">
        <v>110</v>
      </c>
      <c r="BA48" s="4">
        <v>29.932820886235596</v>
      </c>
      <c r="BB48" t="s">
        <v>110</v>
      </c>
    </row>
    <row r="49" spans="1:54" ht="12.75">
      <c r="A49" s="153" t="s">
        <v>120</v>
      </c>
      <c r="B49" s="65"/>
      <c r="C49" s="65"/>
      <c r="D49" s="70">
        <v>10.96</v>
      </c>
      <c r="E49" s="65"/>
      <c r="F49" s="65"/>
      <c r="G49" s="65"/>
      <c r="H49" s="65"/>
      <c r="I49" s="65"/>
      <c r="J49" s="65"/>
      <c r="K49" s="65"/>
      <c r="L49" s="75">
        <v>10.96</v>
      </c>
      <c r="N49" s="3" t="s">
        <v>37</v>
      </c>
      <c r="O49" s="30">
        <v>1</v>
      </c>
      <c r="P49" s="30">
        <v>1</v>
      </c>
      <c r="Q49" s="30">
        <v>1</v>
      </c>
      <c r="R49" s="30">
        <v>1</v>
      </c>
      <c r="S49" s="30">
        <v>1</v>
      </c>
      <c r="T49" s="30">
        <v>1</v>
      </c>
      <c r="U49" s="30">
        <v>1</v>
      </c>
      <c r="V49" s="30">
        <v>1</v>
      </c>
      <c r="W49" s="30">
        <v>1</v>
      </c>
      <c r="X49" s="30">
        <v>1</v>
      </c>
      <c r="Y49" s="36"/>
      <c r="Z49" s="3" t="s">
        <v>37</v>
      </c>
      <c r="AA49" s="209"/>
      <c r="AB49" s="209"/>
      <c r="AC49" s="209">
        <f aca="true" t="shared" si="45" ref="AC49:AC56">Q49*D49</f>
        <v>10.96</v>
      </c>
      <c r="AD49" s="209"/>
      <c r="AE49" s="209"/>
      <c r="AF49" s="209"/>
      <c r="AG49" s="209"/>
      <c r="AH49" s="209"/>
      <c r="AI49" s="209"/>
      <c r="AJ49" s="209"/>
      <c r="AK49" s="215">
        <f t="shared" si="1"/>
        <v>10.96</v>
      </c>
      <c r="AM49" s="202" t="s">
        <v>37</v>
      </c>
      <c r="AN49" s="205"/>
      <c r="AO49" s="157"/>
      <c r="AP49" s="157">
        <f aca="true" t="shared" si="46" ref="AP49:AT56">AC49*AP$6</f>
        <v>34.271591199999996</v>
      </c>
      <c r="AQ49" s="157">
        <f t="shared" si="46"/>
        <v>0</v>
      </c>
      <c r="AR49" s="157">
        <f t="shared" si="46"/>
        <v>0</v>
      </c>
      <c r="AS49" s="157">
        <f t="shared" si="46"/>
        <v>0</v>
      </c>
      <c r="AT49" s="157">
        <f t="shared" si="46"/>
        <v>0</v>
      </c>
      <c r="AU49" s="157">
        <f t="shared" si="38"/>
        <v>0</v>
      </c>
      <c r="AV49" s="157">
        <f aca="true" t="shared" si="47" ref="AV49:AV56">AV$32*AI49/AI$32</f>
        <v>0</v>
      </c>
      <c r="AW49" s="157">
        <f aca="true" t="shared" si="48" ref="AW49:AW56">AW$32*AJ49/AJ$32</f>
        <v>0</v>
      </c>
      <c r="AX49" s="158">
        <f aca="true" t="shared" si="49" ref="AX49:AX56">SUM(AN49:AW49)</f>
        <v>34.271591199999996</v>
      </c>
      <c r="AY49" s="4">
        <f t="shared" si="25"/>
        <v>0.671441572199338</v>
      </c>
      <c r="AZ49" s="4" t="s">
        <v>110</v>
      </c>
      <c r="BA49" s="4">
        <v>0.7427901929440426</v>
      </c>
      <c r="BB49" t="s">
        <v>110</v>
      </c>
    </row>
    <row r="50" spans="1:54" ht="12.75">
      <c r="A50" s="3" t="s">
        <v>119</v>
      </c>
      <c r="B50" s="65"/>
      <c r="C50" s="65"/>
      <c r="D50" s="151">
        <v>45.79</v>
      </c>
      <c r="E50" s="69"/>
      <c r="F50" s="65"/>
      <c r="G50" s="65"/>
      <c r="H50" s="65"/>
      <c r="I50" s="65"/>
      <c r="J50" s="65"/>
      <c r="K50" s="65"/>
      <c r="L50" s="119">
        <v>45.79</v>
      </c>
      <c r="N50" s="3" t="s">
        <v>122</v>
      </c>
      <c r="O50" s="30">
        <v>1</v>
      </c>
      <c r="P50" s="30">
        <v>1</v>
      </c>
      <c r="Q50" s="30">
        <v>1</v>
      </c>
      <c r="R50" s="30">
        <v>1</v>
      </c>
      <c r="S50" s="30">
        <v>1</v>
      </c>
      <c r="T50" s="30">
        <v>1</v>
      </c>
      <c r="U50" s="30">
        <v>1</v>
      </c>
      <c r="V50" s="30">
        <v>1</v>
      </c>
      <c r="W50" s="30">
        <v>1</v>
      </c>
      <c r="X50" s="30">
        <v>1</v>
      </c>
      <c r="Y50" s="36"/>
      <c r="Z50" s="3" t="s">
        <v>122</v>
      </c>
      <c r="AA50" s="209"/>
      <c r="AB50" s="209"/>
      <c r="AC50" s="209">
        <f t="shared" si="45"/>
        <v>45.79</v>
      </c>
      <c r="AD50" s="209"/>
      <c r="AE50" s="209"/>
      <c r="AF50" s="209"/>
      <c r="AG50" s="209"/>
      <c r="AH50" s="209"/>
      <c r="AI50" s="209"/>
      <c r="AJ50" s="209"/>
      <c r="AK50" s="215">
        <f t="shared" si="1"/>
        <v>45.79</v>
      </c>
      <c r="AM50" s="203" t="s">
        <v>122</v>
      </c>
      <c r="AN50" s="205"/>
      <c r="AO50" s="157"/>
      <c r="AP50" s="157">
        <f t="shared" si="46"/>
        <v>143.18395629999998</v>
      </c>
      <c r="AQ50" s="157"/>
      <c r="AR50" s="157"/>
      <c r="AS50" s="157"/>
      <c r="AT50" s="157"/>
      <c r="AU50" s="157"/>
      <c r="AV50" s="157"/>
      <c r="AW50" s="157"/>
      <c r="AX50" s="158">
        <f t="shared" si="49"/>
        <v>143.18395629999998</v>
      </c>
      <c r="AY50" s="4">
        <f t="shared" si="25"/>
        <v>2.8052289772817227</v>
      </c>
      <c r="AZ50" s="4" t="s">
        <v>110</v>
      </c>
      <c r="BA50" s="4">
        <v>3.1033177860317247</v>
      </c>
      <c r="BB50" t="s">
        <v>110</v>
      </c>
    </row>
    <row r="51" spans="1:54" ht="12.75">
      <c r="A51" s="64" t="s">
        <v>38</v>
      </c>
      <c r="B51" s="65"/>
      <c r="C51" s="65"/>
      <c r="D51" s="65">
        <v>311.23</v>
      </c>
      <c r="E51" s="76">
        <v>0.63</v>
      </c>
      <c r="F51" s="65"/>
      <c r="G51" s="65"/>
      <c r="H51" s="65"/>
      <c r="I51" s="65">
        <v>7.85</v>
      </c>
      <c r="J51" s="65"/>
      <c r="K51" s="65"/>
      <c r="L51" s="71">
        <v>319.71</v>
      </c>
      <c r="N51" s="3" t="s">
        <v>38</v>
      </c>
      <c r="O51" s="30">
        <v>1</v>
      </c>
      <c r="P51" s="30">
        <v>1</v>
      </c>
      <c r="Q51" s="30">
        <v>1</v>
      </c>
      <c r="R51" s="30">
        <v>1</v>
      </c>
      <c r="S51" s="30">
        <v>1</v>
      </c>
      <c r="T51" s="30">
        <v>1</v>
      </c>
      <c r="U51" s="30">
        <v>1</v>
      </c>
      <c r="V51" s="30">
        <v>1</v>
      </c>
      <c r="W51" s="30">
        <v>1</v>
      </c>
      <c r="X51" s="30">
        <v>1</v>
      </c>
      <c r="Y51" s="36"/>
      <c r="Z51" s="3" t="s">
        <v>38</v>
      </c>
      <c r="AA51" s="209"/>
      <c r="AB51" s="209"/>
      <c r="AC51" s="209">
        <f t="shared" si="45"/>
        <v>311.23</v>
      </c>
      <c r="AD51" s="209">
        <f>R51*E51</f>
        <v>0.63</v>
      </c>
      <c r="AE51" s="209"/>
      <c r="AF51" s="209"/>
      <c r="AG51" s="209"/>
      <c r="AH51" s="209">
        <f>V51*I51</f>
        <v>7.85</v>
      </c>
      <c r="AI51" s="209"/>
      <c r="AJ51" s="209"/>
      <c r="AK51" s="215">
        <f t="shared" si="1"/>
        <v>319.71000000000004</v>
      </c>
      <c r="AM51" s="202" t="s">
        <v>38</v>
      </c>
      <c r="AN51" s="205"/>
      <c r="AO51" s="157"/>
      <c r="AP51" s="157">
        <f t="shared" si="46"/>
        <v>973.2068730999999</v>
      </c>
      <c r="AQ51" s="157">
        <f t="shared" si="46"/>
        <v>1.4327207999999998</v>
      </c>
      <c r="AR51" s="157">
        <f t="shared" si="46"/>
        <v>0</v>
      </c>
      <c r="AS51" s="157">
        <f t="shared" si="46"/>
        <v>0</v>
      </c>
      <c r="AT51" s="157">
        <f t="shared" si="46"/>
        <v>0</v>
      </c>
      <c r="AU51" s="157">
        <f t="shared" si="38"/>
        <v>37.617042999999995</v>
      </c>
      <c r="AV51" s="157">
        <f t="shared" si="47"/>
        <v>0</v>
      </c>
      <c r="AW51" s="157">
        <f t="shared" si="48"/>
        <v>0</v>
      </c>
      <c r="AX51" s="158">
        <f t="shared" si="49"/>
        <v>1012.2566368999999</v>
      </c>
      <c r="AY51" s="4">
        <f t="shared" si="25"/>
        <v>19.831912203403917</v>
      </c>
      <c r="AZ51" s="4" t="s">
        <v>110</v>
      </c>
      <c r="BA51" s="4">
        <v>21.123989480940242</v>
      </c>
      <c r="BB51" t="s">
        <v>110</v>
      </c>
    </row>
    <row r="52" spans="1:54" ht="12.75">
      <c r="A52" s="64" t="s">
        <v>39</v>
      </c>
      <c r="B52" s="65">
        <v>0.01</v>
      </c>
      <c r="C52" s="65"/>
      <c r="D52" s="65">
        <v>2.95</v>
      </c>
      <c r="E52" s="65"/>
      <c r="F52" s="65"/>
      <c r="G52" s="65"/>
      <c r="H52" s="65"/>
      <c r="I52" s="65"/>
      <c r="J52" s="65">
        <v>5.18</v>
      </c>
      <c r="K52" s="65"/>
      <c r="L52" s="71">
        <v>8.13</v>
      </c>
      <c r="N52" s="3" t="s">
        <v>39</v>
      </c>
      <c r="O52" s="30">
        <v>1</v>
      </c>
      <c r="P52" s="30">
        <v>1</v>
      </c>
      <c r="Q52" s="30">
        <v>1</v>
      </c>
      <c r="R52" s="30">
        <v>1</v>
      </c>
      <c r="S52" s="30">
        <v>1</v>
      </c>
      <c r="T52" s="30">
        <v>1</v>
      </c>
      <c r="U52" s="30">
        <v>1</v>
      </c>
      <c r="V52" s="30">
        <v>1</v>
      </c>
      <c r="W52" s="30">
        <v>1</v>
      </c>
      <c r="X52" s="30">
        <v>1</v>
      </c>
      <c r="Y52" s="36"/>
      <c r="Z52" s="3" t="s">
        <v>39</v>
      </c>
      <c r="AA52" s="209"/>
      <c r="AB52" s="209"/>
      <c r="AC52" s="209">
        <f t="shared" si="45"/>
        <v>2.95</v>
      </c>
      <c r="AD52" s="209"/>
      <c r="AE52" s="209"/>
      <c r="AF52" s="209"/>
      <c r="AG52" s="209"/>
      <c r="AH52" s="209"/>
      <c r="AI52" s="209">
        <f>W52*J52</f>
        <v>5.18</v>
      </c>
      <c r="AJ52" s="209"/>
      <c r="AK52" s="215">
        <f t="shared" si="1"/>
        <v>8.129999999999999</v>
      </c>
      <c r="AM52" s="202" t="s">
        <v>39</v>
      </c>
      <c r="AN52" s="205"/>
      <c r="AO52" s="157"/>
      <c r="AP52" s="157">
        <f t="shared" si="46"/>
        <v>9.2245615</v>
      </c>
      <c r="AQ52" s="157">
        <f t="shared" si="46"/>
        <v>0</v>
      </c>
      <c r="AR52" s="157">
        <f t="shared" si="46"/>
        <v>0</v>
      </c>
      <c r="AS52" s="157">
        <f t="shared" si="46"/>
        <v>0</v>
      </c>
      <c r="AT52" s="157">
        <f t="shared" si="46"/>
        <v>0</v>
      </c>
      <c r="AU52" s="157">
        <f t="shared" si="38"/>
        <v>0</v>
      </c>
      <c r="AV52" s="157">
        <f t="shared" si="47"/>
        <v>21.53389024785142</v>
      </c>
      <c r="AW52" s="157">
        <f t="shared" si="48"/>
        <v>0</v>
      </c>
      <c r="AX52" s="158">
        <f t="shared" si="49"/>
        <v>30.75845174785142</v>
      </c>
      <c r="AY52" s="4">
        <f t="shared" si="25"/>
        <v>0.6026129069838705</v>
      </c>
      <c r="AZ52" s="4" t="s">
        <v>110</v>
      </c>
      <c r="BA52" s="4">
        <v>0.6179627607270696</v>
      </c>
      <c r="BB52" t="s">
        <v>110</v>
      </c>
    </row>
    <row r="53" spans="1:54" ht="12.75">
      <c r="A53" s="64" t="s">
        <v>40</v>
      </c>
      <c r="B53" s="65"/>
      <c r="C53" s="65"/>
      <c r="D53" s="65">
        <v>0</v>
      </c>
      <c r="E53" s="65">
        <v>1.14</v>
      </c>
      <c r="F53" s="65"/>
      <c r="G53" s="65"/>
      <c r="H53" s="65"/>
      <c r="I53" s="65"/>
      <c r="J53" s="65">
        <v>0.11</v>
      </c>
      <c r="K53" s="65"/>
      <c r="L53" s="71">
        <v>1.25</v>
      </c>
      <c r="N53" s="3" t="s">
        <v>40</v>
      </c>
      <c r="O53" s="30">
        <v>1</v>
      </c>
      <c r="P53" s="30">
        <v>1</v>
      </c>
      <c r="Q53" s="30">
        <v>1</v>
      </c>
      <c r="R53" s="30">
        <v>1</v>
      </c>
      <c r="S53" s="30">
        <v>1</v>
      </c>
      <c r="T53" s="30">
        <v>1</v>
      </c>
      <c r="U53" s="30">
        <v>1</v>
      </c>
      <c r="V53" s="30">
        <v>1</v>
      </c>
      <c r="W53" s="30">
        <v>1</v>
      </c>
      <c r="X53" s="30">
        <v>1</v>
      </c>
      <c r="Y53" s="36"/>
      <c r="Z53" s="3" t="s">
        <v>40</v>
      </c>
      <c r="AA53" s="209"/>
      <c r="AB53" s="209"/>
      <c r="AC53" s="209">
        <f t="shared" si="45"/>
        <v>0</v>
      </c>
      <c r="AD53" s="209">
        <f>R53*E53</f>
        <v>1.14</v>
      </c>
      <c r="AE53" s="209"/>
      <c r="AF53" s="209"/>
      <c r="AG53" s="209"/>
      <c r="AH53" s="209"/>
      <c r="AI53" s="209">
        <f>W53*J53</f>
        <v>0.11</v>
      </c>
      <c r="AJ53" s="209"/>
      <c r="AK53" s="215">
        <f t="shared" si="1"/>
        <v>1.25</v>
      </c>
      <c r="AM53" s="202" t="s">
        <v>40</v>
      </c>
      <c r="AN53" s="205"/>
      <c r="AO53" s="157"/>
      <c r="AP53" s="157">
        <f t="shared" si="46"/>
        <v>0</v>
      </c>
      <c r="AQ53" s="157">
        <f t="shared" si="46"/>
        <v>2.5925423999999997</v>
      </c>
      <c r="AR53" s="157">
        <f t="shared" si="46"/>
        <v>0</v>
      </c>
      <c r="AS53" s="157">
        <f t="shared" si="46"/>
        <v>0</v>
      </c>
      <c r="AT53" s="157">
        <f t="shared" si="46"/>
        <v>0</v>
      </c>
      <c r="AU53" s="157">
        <f t="shared" si="38"/>
        <v>0</v>
      </c>
      <c r="AV53" s="157">
        <f t="shared" si="47"/>
        <v>0.45728338364163257</v>
      </c>
      <c r="AW53" s="157">
        <f t="shared" si="48"/>
        <v>0</v>
      </c>
      <c r="AX53" s="158">
        <f t="shared" si="49"/>
        <v>3.0498257836416323</v>
      </c>
      <c r="AY53" s="4">
        <f t="shared" si="25"/>
        <v>0.0597515244376052</v>
      </c>
      <c r="AZ53" s="4" t="s">
        <v>110</v>
      </c>
      <c r="BA53" s="4">
        <v>0.06506698235283224</v>
      </c>
      <c r="BB53" t="s">
        <v>110</v>
      </c>
    </row>
    <row r="54" spans="1:54" ht="12.75">
      <c r="A54" s="153" t="s">
        <v>121</v>
      </c>
      <c r="B54" s="65"/>
      <c r="C54" s="65"/>
      <c r="D54" s="65">
        <v>6.68</v>
      </c>
      <c r="E54" s="65"/>
      <c r="F54" s="65"/>
      <c r="G54" s="65"/>
      <c r="H54" s="65"/>
      <c r="I54" s="65"/>
      <c r="J54" s="65"/>
      <c r="K54" s="65"/>
      <c r="L54" s="72">
        <v>6.68</v>
      </c>
      <c r="N54" s="3" t="s">
        <v>41</v>
      </c>
      <c r="O54" s="30">
        <v>1</v>
      </c>
      <c r="P54" s="30">
        <v>1</v>
      </c>
      <c r="Q54" s="30">
        <v>1</v>
      </c>
      <c r="R54" s="30">
        <v>1</v>
      </c>
      <c r="S54" s="30">
        <v>1</v>
      </c>
      <c r="T54" s="30">
        <v>1</v>
      </c>
      <c r="U54" s="30">
        <v>1</v>
      </c>
      <c r="V54" s="30">
        <v>1</v>
      </c>
      <c r="W54" s="30">
        <v>1</v>
      </c>
      <c r="X54" s="30">
        <v>1</v>
      </c>
      <c r="Y54" s="36"/>
      <c r="Z54" s="3" t="s">
        <v>41</v>
      </c>
      <c r="AA54" s="209"/>
      <c r="AB54" s="209"/>
      <c r="AC54" s="209">
        <f t="shared" si="45"/>
        <v>6.68</v>
      </c>
      <c r="AD54" s="209"/>
      <c r="AE54" s="209"/>
      <c r="AF54" s="209"/>
      <c r="AG54" s="209"/>
      <c r="AH54" s="209"/>
      <c r="AI54" s="209"/>
      <c r="AJ54" s="209"/>
      <c r="AK54" s="215">
        <f t="shared" si="1"/>
        <v>6.68</v>
      </c>
      <c r="AM54" s="202" t="s">
        <v>41</v>
      </c>
      <c r="AN54" s="205"/>
      <c r="AO54" s="157"/>
      <c r="AP54" s="157">
        <f t="shared" si="46"/>
        <v>20.888159599999998</v>
      </c>
      <c r="AQ54" s="157">
        <f t="shared" si="46"/>
        <v>0</v>
      </c>
      <c r="AR54" s="157">
        <f t="shared" si="46"/>
        <v>0</v>
      </c>
      <c r="AS54" s="157">
        <f t="shared" si="46"/>
        <v>0</v>
      </c>
      <c r="AT54" s="157">
        <f t="shared" si="46"/>
        <v>0</v>
      </c>
      <c r="AU54" s="157">
        <f t="shared" si="38"/>
        <v>0</v>
      </c>
      <c r="AV54" s="157">
        <f t="shared" si="47"/>
        <v>0</v>
      </c>
      <c r="AW54" s="157">
        <f t="shared" si="48"/>
        <v>0</v>
      </c>
      <c r="AX54" s="158">
        <f t="shared" si="49"/>
        <v>20.888159599999998</v>
      </c>
      <c r="AY54" s="4">
        <f t="shared" si="25"/>
        <v>0.40923628670543594</v>
      </c>
      <c r="AZ54" s="4" t="s">
        <v>110</v>
      </c>
      <c r="BA54" s="4">
        <v>0.45272248986005514</v>
      </c>
      <c r="BB54" t="s">
        <v>110</v>
      </c>
    </row>
    <row r="55" spans="1:54" ht="12.75">
      <c r="A55" s="3" t="s">
        <v>118</v>
      </c>
      <c r="B55" s="65">
        <v>0</v>
      </c>
      <c r="C55" s="65"/>
      <c r="D55" s="151">
        <v>54.73</v>
      </c>
      <c r="E55" s="65"/>
      <c r="F55" s="65"/>
      <c r="G55" s="65"/>
      <c r="H55" s="65"/>
      <c r="I55" s="65"/>
      <c r="J55" s="65"/>
      <c r="K55" s="65"/>
      <c r="L55" s="152">
        <v>54.73</v>
      </c>
      <c r="N55" s="3" t="s">
        <v>118</v>
      </c>
      <c r="O55" s="30">
        <v>1</v>
      </c>
      <c r="P55" s="30">
        <v>1</v>
      </c>
      <c r="Q55" s="30">
        <v>1</v>
      </c>
      <c r="R55" s="30">
        <v>1</v>
      </c>
      <c r="S55" s="30">
        <v>1</v>
      </c>
      <c r="T55" s="30">
        <v>1</v>
      </c>
      <c r="U55" s="30">
        <v>1</v>
      </c>
      <c r="V55" s="30">
        <v>1</v>
      </c>
      <c r="W55" s="30">
        <v>1</v>
      </c>
      <c r="X55" s="30">
        <v>1</v>
      </c>
      <c r="Y55" s="36"/>
      <c r="Z55" s="3" t="s">
        <v>118</v>
      </c>
      <c r="AA55" s="209"/>
      <c r="AB55" s="209"/>
      <c r="AC55" s="209">
        <f t="shared" si="45"/>
        <v>54.73</v>
      </c>
      <c r="AD55" s="209"/>
      <c r="AE55" s="209"/>
      <c r="AF55" s="209"/>
      <c r="AG55" s="209"/>
      <c r="AH55" s="209"/>
      <c r="AI55" s="209"/>
      <c r="AJ55" s="209"/>
      <c r="AK55" s="215">
        <f t="shared" si="1"/>
        <v>54.73</v>
      </c>
      <c r="AM55" s="203" t="s">
        <v>118</v>
      </c>
      <c r="AN55" s="205"/>
      <c r="AO55" s="157"/>
      <c r="AP55" s="157">
        <f t="shared" si="46"/>
        <v>171.13906809999997</v>
      </c>
      <c r="AQ55" s="157"/>
      <c r="AR55" s="157"/>
      <c r="AS55" s="157"/>
      <c r="AT55" s="157"/>
      <c r="AU55" s="157"/>
      <c r="AV55" s="157"/>
      <c r="AW55" s="157"/>
      <c r="AX55" s="158">
        <f t="shared" si="49"/>
        <v>171.13906809999997</v>
      </c>
      <c r="AY55" s="4">
        <f t="shared" si="25"/>
        <v>3.3529194567946865</v>
      </c>
      <c r="AZ55" s="4" t="s">
        <v>110</v>
      </c>
      <c r="BA55" s="4">
        <v>3.709206866772577</v>
      </c>
      <c r="BB55" t="s">
        <v>110</v>
      </c>
    </row>
    <row r="56" spans="1:54" ht="13.5" thickBot="1">
      <c r="A56" s="73" t="s">
        <v>35</v>
      </c>
      <c r="B56" s="74"/>
      <c r="C56" s="74"/>
      <c r="D56" s="74">
        <v>0.15</v>
      </c>
      <c r="E56" s="74">
        <v>0.12</v>
      </c>
      <c r="F56" s="74"/>
      <c r="G56" s="74"/>
      <c r="H56" s="74"/>
      <c r="I56" s="74"/>
      <c r="J56" s="74">
        <v>1.26</v>
      </c>
      <c r="K56" s="70"/>
      <c r="L56" s="96">
        <v>1.53</v>
      </c>
      <c r="N56" s="6" t="s">
        <v>35</v>
      </c>
      <c r="O56" s="30">
        <v>1</v>
      </c>
      <c r="P56" s="30">
        <v>1</v>
      </c>
      <c r="Q56" s="30">
        <v>1</v>
      </c>
      <c r="R56" s="30">
        <v>1</v>
      </c>
      <c r="S56" s="30">
        <v>1</v>
      </c>
      <c r="T56" s="30">
        <v>1</v>
      </c>
      <c r="U56" s="30">
        <v>1</v>
      </c>
      <c r="V56" s="30">
        <v>1</v>
      </c>
      <c r="W56" s="30">
        <v>1</v>
      </c>
      <c r="X56" s="30">
        <v>1</v>
      </c>
      <c r="Y56" s="41"/>
      <c r="Z56" s="6" t="s">
        <v>35</v>
      </c>
      <c r="AA56" s="219"/>
      <c r="AB56" s="219"/>
      <c r="AC56" s="219">
        <f t="shared" si="45"/>
        <v>0.15</v>
      </c>
      <c r="AD56" s="219">
        <f>R56*E56</f>
        <v>0.12</v>
      </c>
      <c r="AE56" s="219"/>
      <c r="AF56" s="219"/>
      <c r="AG56" s="219"/>
      <c r="AH56" s="219"/>
      <c r="AI56" s="219">
        <f>W56*J56</f>
        <v>1.26</v>
      </c>
      <c r="AJ56" s="219"/>
      <c r="AK56" s="220">
        <f t="shared" si="1"/>
        <v>1.53</v>
      </c>
      <c r="AM56" s="204" t="s">
        <v>35</v>
      </c>
      <c r="AN56" s="161"/>
      <c r="AO56" s="162"/>
      <c r="AP56" s="162">
        <f t="shared" si="46"/>
        <v>0.4690454999999999</v>
      </c>
      <c r="AQ56" s="162">
        <f t="shared" si="46"/>
        <v>0.27289919999999995</v>
      </c>
      <c r="AR56" s="162">
        <f t="shared" si="46"/>
        <v>0</v>
      </c>
      <c r="AS56" s="162">
        <f t="shared" si="46"/>
        <v>0</v>
      </c>
      <c r="AT56" s="162">
        <f t="shared" si="46"/>
        <v>0</v>
      </c>
      <c r="AU56" s="162">
        <f t="shared" si="38"/>
        <v>0</v>
      </c>
      <c r="AV56" s="162">
        <f t="shared" si="47"/>
        <v>5.237973303531428</v>
      </c>
      <c r="AW56" s="162">
        <f t="shared" si="48"/>
        <v>0</v>
      </c>
      <c r="AX56" s="163">
        <f t="shared" si="49"/>
        <v>5.979918003531427</v>
      </c>
      <c r="AY56" s="195">
        <f t="shared" si="25"/>
        <v>0.11715725489612715</v>
      </c>
      <c r="AZ56" s="193" t="s">
        <v>110</v>
      </c>
      <c r="BA56" s="193">
        <v>0.11776432660704958</v>
      </c>
      <c r="BB56" s="182" t="s">
        <v>110</v>
      </c>
    </row>
    <row r="57" spans="1:54" ht="16.5" customHeight="1">
      <c r="A57" s="71" t="s">
        <v>42</v>
      </c>
      <c r="B57" s="72">
        <v>13.45</v>
      </c>
      <c r="C57" s="72"/>
      <c r="D57" s="72">
        <v>83.69</v>
      </c>
      <c r="E57" s="72">
        <v>173.68</v>
      </c>
      <c r="F57" s="72"/>
      <c r="G57" s="72"/>
      <c r="H57" s="72">
        <v>3.37</v>
      </c>
      <c r="I57" s="72">
        <v>36.01</v>
      </c>
      <c r="J57" s="72">
        <v>149.26</v>
      </c>
      <c r="K57" s="122">
        <v>38.03</v>
      </c>
      <c r="L57" s="71">
        <v>497.49</v>
      </c>
      <c r="N57" s="5" t="s">
        <v>42</v>
      </c>
      <c r="O57" s="15"/>
      <c r="P57" s="15"/>
      <c r="Q57" s="15"/>
      <c r="R57" s="15"/>
      <c r="S57" s="15"/>
      <c r="T57" s="15"/>
      <c r="U57" s="15"/>
      <c r="V57" s="15"/>
      <c r="W57" s="15"/>
      <c r="X57" s="15"/>
      <c r="Y57" s="40"/>
      <c r="Z57" s="5" t="s">
        <v>42</v>
      </c>
      <c r="AA57" s="218">
        <f>SUM(AA58:AA62)</f>
        <v>13.45</v>
      </c>
      <c r="AB57" s="218">
        <f>SUM(AB58:AB62)</f>
        <v>0</v>
      </c>
      <c r="AC57" s="218">
        <f aca="true" t="shared" si="50" ref="AC57:AK57">SUM(AC58:AC62)</f>
        <v>83.69</v>
      </c>
      <c r="AD57" s="218">
        <f t="shared" si="50"/>
        <v>173.67000000000002</v>
      </c>
      <c r="AE57" s="218">
        <f>SUM(AE58:AE62)</f>
        <v>0</v>
      </c>
      <c r="AF57" s="218">
        <f>SUM(AF58:AF62)</f>
        <v>0</v>
      </c>
      <c r="AG57" s="218">
        <f>SUM(AG58:AG62)</f>
        <v>3.37</v>
      </c>
      <c r="AH57" s="218">
        <f t="shared" si="50"/>
        <v>36.01</v>
      </c>
      <c r="AI57" s="218">
        <f t="shared" si="50"/>
        <v>149.27</v>
      </c>
      <c r="AJ57" s="218">
        <f t="shared" si="50"/>
        <v>38.04</v>
      </c>
      <c r="AK57" s="215">
        <f t="shared" si="50"/>
        <v>497.5</v>
      </c>
      <c r="AM57" s="112" t="s">
        <v>42</v>
      </c>
      <c r="AN57" s="160">
        <f aca="true" t="shared" si="51" ref="AN57:AW57">SUM(AN58:AN62)</f>
        <v>51.8894275</v>
      </c>
      <c r="AO57" s="160">
        <f t="shared" si="51"/>
        <v>0</v>
      </c>
      <c r="AP57" s="160">
        <f t="shared" si="51"/>
        <v>261.69611929999996</v>
      </c>
      <c r="AQ57" s="160">
        <f t="shared" si="51"/>
        <v>394.95336719999995</v>
      </c>
      <c r="AR57" s="160">
        <f t="shared" si="51"/>
        <v>0</v>
      </c>
      <c r="AS57" s="160">
        <f t="shared" si="51"/>
        <v>0</v>
      </c>
      <c r="AT57" s="160">
        <f t="shared" si="51"/>
        <v>0</v>
      </c>
      <c r="AU57" s="160">
        <f t="shared" si="51"/>
        <v>172.55919980000002</v>
      </c>
      <c r="AV57" s="160">
        <f>SUM(AV58:AV62)</f>
        <v>620.5335516016952</v>
      </c>
      <c r="AW57" s="160">
        <f t="shared" si="51"/>
        <v>178.09536351242278</v>
      </c>
      <c r="AX57" s="158">
        <f>SUM(AX58:AX62)</f>
        <v>1679.7270289141181</v>
      </c>
      <c r="AY57" s="15">
        <f t="shared" si="25"/>
        <v>32.908847172518165</v>
      </c>
      <c r="AZ57" s="4" t="s">
        <v>110</v>
      </c>
      <c r="BA57" s="4">
        <v>30.489256662494174</v>
      </c>
      <c r="BB57" t="s">
        <v>110</v>
      </c>
    </row>
    <row r="58" spans="1:54" ht="12.75">
      <c r="A58" s="64" t="s">
        <v>43</v>
      </c>
      <c r="B58" s="65">
        <v>11.03</v>
      </c>
      <c r="C58" s="65"/>
      <c r="D58" s="65">
        <v>45.84</v>
      </c>
      <c r="E58" s="65">
        <v>118.42</v>
      </c>
      <c r="F58" s="65"/>
      <c r="G58" s="65"/>
      <c r="H58" s="65">
        <v>2.74</v>
      </c>
      <c r="I58" s="65">
        <v>32.29</v>
      </c>
      <c r="J58" s="65">
        <v>73.97</v>
      </c>
      <c r="K58" s="121">
        <v>13</v>
      </c>
      <c r="L58" s="71">
        <v>297.3</v>
      </c>
      <c r="N58" s="3" t="s">
        <v>43</v>
      </c>
      <c r="O58" s="30">
        <v>1</v>
      </c>
      <c r="P58" s="30">
        <v>1</v>
      </c>
      <c r="Q58" s="30">
        <v>1</v>
      </c>
      <c r="R58" s="30">
        <v>1</v>
      </c>
      <c r="S58" s="30">
        <v>1</v>
      </c>
      <c r="T58" s="30">
        <v>1</v>
      </c>
      <c r="U58" s="30">
        <v>1</v>
      </c>
      <c r="V58" s="30">
        <v>1</v>
      </c>
      <c r="W58" s="30">
        <v>1</v>
      </c>
      <c r="X58" s="30">
        <v>1</v>
      </c>
      <c r="Y58" s="36"/>
      <c r="Z58" s="3" t="s">
        <v>43</v>
      </c>
      <c r="AA58" s="209">
        <f>O58*B58</f>
        <v>11.03</v>
      </c>
      <c r="AB58" s="209"/>
      <c r="AC58" s="209">
        <f aca="true" t="shared" si="52" ref="AC58:AD60">Q58*D58</f>
        <v>45.84</v>
      </c>
      <c r="AD58" s="209">
        <f t="shared" si="52"/>
        <v>118.42</v>
      </c>
      <c r="AE58" s="209"/>
      <c r="AF58" s="209"/>
      <c r="AG58" s="209">
        <f aca="true" t="shared" si="53" ref="AG58:AJ60">U58*H58</f>
        <v>2.74</v>
      </c>
      <c r="AH58" s="209">
        <f t="shared" si="53"/>
        <v>32.29</v>
      </c>
      <c r="AI58" s="209">
        <f t="shared" si="53"/>
        <v>73.97</v>
      </c>
      <c r="AJ58" s="209">
        <f t="shared" si="53"/>
        <v>13</v>
      </c>
      <c r="AK58" s="215">
        <f t="shared" si="1"/>
        <v>297.29</v>
      </c>
      <c r="AM58" s="110" t="s">
        <v>43</v>
      </c>
      <c r="AN58" s="157">
        <f aca="true" t="shared" si="54" ref="AN58:AT62">AA58*AN$6</f>
        <v>42.5531885</v>
      </c>
      <c r="AO58" s="157">
        <f t="shared" si="54"/>
        <v>0</v>
      </c>
      <c r="AP58" s="157">
        <f t="shared" si="54"/>
        <v>143.34030479999998</v>
      </c>
      <c r="AQ58" s="157">
        <f t="shared" si="54"/>
        <v>269.30602719999996</v>
      </c>
      <c r="AR58" s="157">
        <f t="shared" si="54"/>
        <v>0</v>
      </c>
      <c r="AS58" s="157">
        <f t="shared" si="54"/>
        <v>0</v>
      </c>
      <c r="AT58" s="157">
        <f t="shared" si="54"/>
        <v>0</v>
      </c>
      <c r="AU58" s="157">
        <f t="shared" si="38"/>
        <v>154.7330342</v>
      </c>
      <c r="AV58" s="157">
        <f aca="true" t="shared" si="55" ref="AV58:AW62">AV$32*AI58/AI$32</f>
        <v>307.5022898906505</v>
      </c>
      <c r="AW58" s="157">
        <f t="shared" si="55"/>
        <v>60.86329457574911</v>
      </c>
      <c r="AX58" s="158">
        <f>SUM(AN58:AW58)</f>
        <v>978.2981391663997</v>
      </c>
      <c r="AY58" s="4">
        <f t="shared" si="25"/>
        <v>19.166604690405332</v>
      </c>
      <c r="AZ58" s="4" t="s">
        <v>110</v>
      </c>
      <c r="BA58" s="4">
        <v>16.89005536697862</v>
      </c>
      <c r="BB58" t="s">
        <v>110</v>
      </c>
    </row>
    <row r="59" spans="1:54" ht="12.75">
      <c r="A59" s="64" t="s">
        <v>44</v>
      </c>
      <c r="B59" s="65">
        <v>1.25</v>
      </c>
      <c r="C59" s="65"/>
      <c r="D59" s="65">
        <v>17.16</v>
      </c>
      <c r="E59" s="65">
        <v>41.33</v>
      </c>
      <c r="F59" s="65"/>
      <c r="G59" s="65"/>
      <c r="H59" s="65">
        <v>0.26</v>
      </c>
      <c r="I59" s="65">
        <v>2.15</v>
      </c>
      <c r="J59" s="65">
        <v>69.84</v>
      </c>
      <c r="K59" s="121">
        <v>5.32</v>
      </c>
      <c r="L59" s="71">
        <v>137.31</v>
      </c>
      <c r="N59" s="3" t="s">
        <v>44</v>
      </c>
      <c r="O59" s="30">
        <v>1</v>
      </c>
      <c r="P59" s="30">
        <v>1</v>
      </c>
      <c r="Q59" s="30">
        <v>1</v>
      </c>
      <c r="R59" s="30">
        <v>1</v>
      </c>
      <c r="S59" s="30">
        <v>1</v>
      </c>
      <c r="T59" s="30">
        <v>1</v>
      </c>
      <c r="U59" s="30">
        <v>1</v>
      </c>
      <c r="V59" s="30">
        <v>1</v>
      </c>
      <c r="W59" s="30">
        <v>1</v>
      </c>
      <c r="X59" s="30">
        <v>1</v>
      </c>
      <c r="Y59" s="36"/>
      <c r="Z59" s="3" t="s">
        <v>44</v>
      </c>
      <c r="AA59" s="209">
        <f>O59*B59</f>
        <v>1.25</v>
      </c>
      <c r="AB59" s="209"/>
      <c r="AC59" s="209">
        <f t="shared" si="52"/>
        <v>17.16</v>
      </c>
      <c r="AD59" s="209">
        <f t="shared" si="52"/>
        <v>41.33</v>
      </c>
      <c r="AE59" s="209"/>
      <c r="AF59" s="209"/>
      <c r="AG59" s="209">
        <f t="shared" si="53"/>
        <v>0.26</v>
      </c>
      <c r="AH59" s="209">
        <f t="shared" si="53"/>
        <v>2.15</v>
      </c>
      <c r="AI59" s="209">
        <f t="shared" si="53"/>
        <v>69.84</v>
      </c>
      <c r="AJ59" s="211">
        <f t="shared" si="53"/>
        <v>5.32</v>
      </c>
      <c r="AK59" s="215">
        <f t="shared" si="1"/>
        <v>137.31</v>
      </c>
      <c r="AM59" s="110" t="s">
        <v>44</v>
      </c>
      <c r="AN59" s="157">
        <f t="shared" si="54"/>
        <v>4.8224374999999995</v>
      </c>
      <c r="AO59" s="157">
        <f t="shared" si="54"/>
        <v>0</v>
      </c>
      <c r="AP59" s="157">
        <f t="shared" si="54"/>
        <v>53.658805199999996</v>
      </c>
      <c r="AQ59" s="157">
        <f t="shared" si="54"/>
        <v>93.99103279999999</v>
      </c>
      <c r="AR59" s="157">
        <f t="shared" si="54"/>
        <v>0</v>
      </c>
      <c r="AS59" s="157">
        <f t="shared" si="54"/>
        <v>0</v>
      </c>
      <c r="AT59" s="157">
        <f t="shared" si="54"/>
        <v>0</v>
      </c>
      <c r="AU59" s="157">
        <f t="shared" si="38"/>
        <v>10.302757</v>
      </c>
      <c r="AV59" s="157">
        <f t="shared" si="55"/>
        <v>290.333377395742</v>
      </c>
      <c r="AW59" s="157">
        <f t="shared" si="55"/>
        <v>24.907132857152714</v>
      </c>
      <c r="AX59" s="158">
        <f>SUM(AN59:AW59)</f>
        <v>478.01554275289465</v>
      </c>
      <c r="AY59" s="4">
        <f t="shared" si="25"/>
        <v>9.365176705355992</v>
      </c>
      <c r="AZ59" s="4" t="s">
        <v>110</v>
      </c>
      <c r="BA59" s="4">
        <v>9.372445368468192</v>
      </c>
      <c r="BB59" t="s">
        <v>110</v>
      </c>
    </row>
    <row r="60" spans="1:54" ht="12.75">
      <c r="A60" s="64" t="s">
        <v>45</v>
      </c>
      <c r="B60" s="65">
        <v>1.08</v>
      </c>
      <c r="C60" s="65"/>
      <c r="D60" s="65">
        <v>18.04</v>
      </c>
      <c r="E60" s="65">
        <v>4.53</v>
      </c>
      <c r="F60" s="65"/>
      <c r="G60" s="65"/>
      <c r="H60" s="65">
        <v>0.07</v>
      </c>
      <c r="I60" s="65">
        <v>1.55</v>
      </c>
      <c r="J60" s="65">
        <v>4.96</v>
      </c>
      <c r="K60" s="121">
        <v>0.34</v>
      </c>
      <c r="L60" s="71">
        <v>30.56</v>
      </c>
      <c r="N60" s="3" t="s">
        <v>45</v>
      </c>
      <c r="O60" s="30">
        <v>1</v>
      </c>
      <c r="P60" s="30">
        <v>1</v>
      </c>
      <c r="Q60" s="30">
        <v>1</v>
      </c>
      <c r="R60" s="30">
        <v>1</v>
      </c>
      <c r="S60" s="30">
        <v>1</v>
      </c>
      <c r="T60" s="30">
        <v>1</v>
      </c>
      <c r="U60" s="30">
        <v>1</v>
      </c>
      <c r="V60" s="30">
        <v>1</v>
      </c>
      <c r="W60" s="30">
        <v>1</v>
      </c>
      <c r="X60" s="30">
        <v>1</v>
      </c>
      <c r="Y60" s="36"/>
      <c r="Z60" s="3" t="s">
        <v>45</v>
      </c>
      <c r="AA60" s="209">
        <f>O60*B60</f>
        <v>1.08</v>
      </c>
      <c r="AB60" s="209"/>
      <c r="AC60" s="209">
        <f t="shared" si="52"/>
        <v>18.04</v>
      </c>
      <c r="AD60" s="209">
        <f t="shared" si="52"/>
        <v>4.53</v>
      </c>
      <c r="AE60" s="209"/>
      <c r="AF60" s="209"/>
      <c r="AG60" s="209">
        <f t="shared" si="53"/>
        <v>0.07</v>
      </c>
      <c r="AH60" s="209">
        <f t="shared" si="53"/>
        <v>1.55</v>
      </c>
      <c r="AI60" s="209">
        <f t="shared" si="53"/>
        <v>4.96</v>
      </c>
      <c r="AJ60" s="211">
        <f t="shared" si="53"/>
        <v>0.34</v>
      </c>
      <c r="AK60" s="215">
        <f t="shared" si="1"/>
        <v>30.57</v>
      </c>
      <c r="AM60" s="110" t="s">
        <v>45</v>
      </c>
      <c r="AN60" s="157">
        <f t="shared" si="54"/>
        <v>4.166586</v>
      </c>
      <c r="AO60" s="157">
        <f t="shared" si="54"/>
        <v>0</v>
      </c>
      <c r="AP60" s="157">
        <f t="shared" si="54"/>
        <v>56.41053879999999</v>
      </c>
      <c r="AQ60" s="157">
        <f t="shared" si="54"/>
        <v>10.3019448</v>
      </c>
      <c r="AR60" s="157">
        <f t="shared" si="54"/>
        <v>0</v>
      </c>
      <c r="AS60" s="157">
        <f t="shared" si="54"/>
        <v>0</v>
      </c>
      <c r="AT60" s="157">
        <f t="shared" si="54"/>
        <v>0</v>
      </c>
      <c r="AU60" s="157">
        <f t="shared" si="38"/>
        <v>7.427569</v>
      </c>
      <c r="AV60" s="157">
        <f t="shared" si="55"/>
        <v>20.619323480568156</v>
      </c>
      <c r="AW60" s="157">
        <f t="shared" si="55"/>
        <v>1.5918092427503616</v>
      </c>
      <c r="AX60" s="158">
        <f>SUM(AN60:AW60)</f>
        <v>100.51777132331851</v>
      </c>
      <c r="AY60" s="4">
        <f t="shared" si="25"/>
        <v>1.9693223468218342</v>
      </c>
      <c r="AZ60" s="4" t="s">
        <v>110</v>
      </c>
      <c r="BA60" s="4">
        <v>1.9640718629944691</v>
      </c>
      <c r="BB60" t="s">
        <v>110</v>
      </c>
    </row>
    <row r="61" spans="1:54" ht="12.75">
      <c r="A61" s="64" t="s">
        <v>46</v>
      </c>
      <c r="B61" s="65"/>
      <c r="C61" s="65"/>
      <c r="D61" s="65">
        <v>1.68</v>
      </c>
      <c r="E61" s="65"/>
      <c r="F61" s="65"/>
      <c r="G61" s="65"/>
      <c r="H61" s="65">
        <v>0.04</v>
      </c>
      <c r="I61" s="65"/>
      <c r="J61" s="65">
        <v>0.05</v>
      </c>
      <c r="K61" s="121">
        <v>0</v>
      </c>
      <c r="L61" s="71">
        <v>1.77</v>
      </c>
      <c r="N61" s="3" t="s">
        <v>46</v>
      </c>
      <c r="O61" s="30">
        <v>1</v>
      </c>
      <c r="P61" s="30">
        <v>1</v>
      </c>
      <c r="Q61" s="30">
        <v>1</v>
      </c>
      <c r="R61" s="30">
        <v>1</v>
      </c>
      <c r="S61" s="30">
        <v>1</v>
      </c>
      <c r="T61" s="30">
        <v>1</v>
      </c>
      <c r="U61" s="30">
        <v>1</v>
      </c>
      <c r="V61" s="30">
        <v>1</v>
      </c>
      <c r="W61" s="30">
        <v>1</v>
      </c>
      <c r="X61" s="30">
        <v>1</v>
      </c>
      <c r="Y61" s="36"/>
      <c r="Z61" s="3" t="s">
        <v>46</v>
      </c>
      <c r="AA61" s="209"/>
      <c r="AB61" s="209"/>
      <c r="AC61" s="209">
        <f>Q61*D61</f>
        <v>1.68</v>
      </c>
      <c r="AD61" s="209"/>
      <c r="AE61" s="209"/>
      <c r="AF61" s="209"/>
      <c r="AG61" s="209">
        <f>U61*H61</f>
        <v>0.04</v>
      </c>
      <c r="AH61" s="209"/>
      <c r="AI61" s="209">
        <f>W61*J61</f>
        <v>0.05</v>
      </c>
      <c r="AJ61" s="209"/>
      <c r="AK61" s="215">
        <f t="shared" si="1"/>
        <v>1.77</v>
      </c>
      <c r="AM61" s="110" t="s">
        <v>46</v>
      </c>
      <c r="AN61" s="157"/>
      <c r="AO61" s="157">
        <f t="shared" si="54"/>
        <v>0</v>
      </c>
      <c r="AP61" s="157">
        <f t="shared" si="54"/>
        <v>5.253309599999999</v>
      </c>
      <c r="AQ61" s="157">
        <f t="shared" si="54"/>
        <v>0</v>
      </c>
      <c r="AR61" s="157">
        <f t="shared" si="54"/>
        <v>0</v>
      </c>
      <c r="AS61" s="157">
        <f t="shared" si="54"/>
        <v>0</v>
      </c>
      <c r="AT61" s="157">
        <f t="shared" si="54"/>
        <v>0</v>
      </c>
      <c r="AU61" s="157">
        <f t="shared" si="38"/>
        <v>0</v>
      </c>
      <c r="AV61" s="157">
        <f t="shared" si="55"/>
        <v>0.20785608347346932</v>
      </c>
      <c r="AW61" s="157">
        <f t="shared" si="55"/>
        <v>0</v>
      </c>
      <c r="AX61" s="158">
        <f>SUM(AN61:AW61)</f>
        <v>5.461165683473468</v>
      </c>
      <c r="AY61" s="4">
        <f t="shared" si="25"/>
        <v>0.10699397209641372</v>
      </c>
      <c r="AZ61" s="4" t="s">
        <v>110</v>
      </c>
      <c r="BA61" s="4">
        <v>0.11789341752556547</v>
      </c>
      <c r="BB61" t="s">
        <v>110</v>
      </c>
    </row>
    <row r="62" spans="1:54" ht="13.5" thickBot="1">
      <c r="A62" s="73" t="s">
        <v>35</v>
      </c>
      <c r="B62" s="74">
        <v>0.09</v>
      </c>
      <c r="C62" s="74"/>
      <c r="D62" s="74">
        <v>0.97</v>
      </c>
      <c r="E62" s="74">
        <v>9.39</v>
      </c>
      <c r="F62" s="74"/>
      <c r="G62" s="74"/>
      <c r="H62" s="74">
        <v>0.26</v>
      </c>
      <c r="I62" s="74">
        <v>0.02</v>
      </c>
      <c r="J62" s="74">
        <v>0.45</v>
      </c>
      <c r="K62" s="123">
        <v>19.38</v>
      </c>
      <c r="L62" s="96">
        <v>30.56</v>
      </c>
      <c r="N62" s="6" t="s">
        <v>35</v>
      </c>
      <c r="O62" s="30">
        <v>1</v>
      </c>
      <c r="P62" s="30">
        <v>1</v>
      </c>
      <c r="Q62" s="30">
        <v>1</v>
      </c>
      <c r="R62" s="30">
        <v>1</v>
      </c>
      <c r="S62" s="30">
        <v>1</v>
      </c>
      <c r="T62" s="30">
        <v>1</v>
      </c>
      <c r="U62" s="30">
        <v>1</v>
      </c>
      <c r="V62" s="30">
        <v>1</v>
      </c>
      <c r="W62" s="30">
        <v>1</v>
      </c>
      <c r="X62" s="30">
        <v>1</v>
      </c>
      <c r="Y62" s="41"/>
      <c r="Z62" s="6" t="s">
        <v>35</v>
      </c>
      <c r="AA62" s="219">
        <f>O62*B62</f>
        <v>0.09</v>
      </c>
      <c r="AB62" s="219"/>
      <c r="AC62" s="219">
        <f>Q62*D62</f>
        <v>0.97</v>
      </c>
      <c r="AD62" s="219">
        <f>R62*E62</f>
        <v>9.39</v>
      </c>
      <c r="AE62" s="219"/>
      <c r="AF62" s="219"/>
      <c r="AG62" s="219">
        <f>U62*H62</f>
        <v>0.26</v>
      </c>
      <c r="AH62" s="219">
        <f>V62*I62</f>
        <v>0.02</v>
      </c>
      <c r="AI62" s="219">
        <f>W62*J62</f>
        <v>0.45</v>
      </c>
      <c r="AJ62" s="219">
        <f>X62*K62</f>
        <v>19.38</v>
      </c>
      <c r="AK62" s="220">
        <f t="shared" si="1"/>
        <v>30.56</v>
      </c>
      <c r="AM62" s="111" t="s">
        <v>35</v>
      </c>
      <c r="AN62" s="161">
        <f t="shared" si="54"/>
        <v>0.34721549999999995</v>
      </c>
      <c r="AO62" s="162">
        <f t="shared" si="54"/>
        <v>0</v>
      </c>
      <c r="AP62" s="162">
        <f t="shared" si="54"/>
        <v>3.0331608999999995</v>
      </c>
      <c r="AQ62" s="162">
        <f t="shared" si="54"/>
        <v>21.3543624</v>
      </c>
      <c r="AR62" s="162">
        <f t="shared" si="54"/>
        <v>0</v>
      </c>
      <c r="AS62" s="162">
        <f t="shared" si="54"/>
        <v>0</v>
      </c>
      <c r="AT62" s="162">
        <f t="shared" si="54"/>
        <v>0</v>
      </c>
      <c r="AU62" s="162">
        <f t="shared" si="38"/>
        <v>0.0958396</v>
      </c>
      <c r="AV62" s="162">
        <f t="shared" si="55"/>
        <v>1.870704751261224</v>
      </c>
      <c r="AW62" s="162">
        <f t="shared" si="55"/>
        <v>90.7331268367706</v>
      </c>
      <c r="AX62" s="163">
        <f>SUM(AN62:AW62)</f>
        <v>117.43440998803182</v>
      </c>
      <c r="AY62" s="195">
        <f t="shared" si="25"/>
        <v>2.300749457838588</v>
      </c>
      <c r="AZ62" s="193" t="s">
        <v>110</v>
      </c>
      <c r="BA62" s="193">
        <v>2.14479064652733</v>
      </c>
      <c r="BB62" s="182" t="s">
        <v>110</v>
      </c>
    </row>
    <row r="63" spans="1:54" ht="16.5" customHeight="1">
      <c r="A63" s="71" t="s">
        <v>47</v>
      </c>
      <c r="B63" s="72">
        <v>1.28</v>
      </c>
      <c r="C63" s="72">
        <v>2.46</v>
      </c>
      <c r="D63" s="72">
        <v>101.7</v>
      </c>
      <c r="E63" s="72">
        <v>12.92</v>
      </c>
      <c r="F63" s="72"/>
      <c r="G63" s="72"/>
      <c r="H63" s="72"/>
      <c r="I63" s="72"/>
      <c r="J63" s="72"/>
      <c r="K63" s="72"/>
      <c r="L63" s="71">
        <v>118.36</v>
      </c>
      <c r="N63" s="5" t="s">
        <v>47</v>
      </c>
      <c r="O63" s="22"/>
      <c r="P63" s="22"/>
      <c r="Q63" s="22"/>
      <c r="R63" s="22"/>
      <c r="S63" s="22"/>
      <c r="T63" s="22"/>
      <c r="U63" s="22"/>
      <c r="V63" s="22"/>
      <c r="W63" s="22"/>
      <c r="X63" s="22"/>
      <c r="Y63" s="40"/>
      <c r="Z63" s="5" t="s">
        <v>47</v>
      </c>
      <c r="AA63" s="207">
        <f>AA64+AA66+AA67</f>
        <v>1.28</v>
      </c>
      <c r="AB63" s="207">
        <f>AB64+AB66+AB67</f>
        <v>2.46</v>
      </c>
      <c r="AC63" s="207">
        <f aca="true" t="shared" si="56" ref="AC63:AK63">AC64+AC66+AC67</f>
        <v>101.69999999999999</v>
      </c>
      <c r="AD63" s="207">
        <f t="shared" si="56"/>
        <v>12.92</v>
      </c>
      <c r="AE63" s="207">
        <f t="shared" si="56"/>
        <v>0</v>
      </c>
      <c r="AF63" s="207">
        <f t="shared" si="56"/>
        <v>0</v>
      </c>
      <c r="AG63" s="207">
        <f t="shared" si="56"/>
        <v>0</v>
      </c>
      <c r="AH63" s="207">
        <f t="shared" si="56"/>
        <v>0</v>
      </c>
      <c r="AI63" s="207">
        <f t="shared" si="56"/>
        <v>0</v>
      </c>
      <c r="AJ63" s="207">
        <f t="shared" si="56"/>
        <v>0</v>
      </c>
      <c r="AK63" s="215">
        <f t="shared" si="56"/>
        <v>118.36</v>
      </c>
      <c r="AM63" s="112" t="s">
        <v>47</v>
      </c>
      <c r="AN63" s="164">
        <f aca="true" t="shared" si="57" ref="AN63:AW63">AN64+AN66+AN67</f>
        <v>4.938176</v>
      </c>
      <c r="AO63" s="164">
        <f t="shared" si="57"/>
        <v>7.6923461999999985</v>
      </c>
      <c r="AP63" s="164">
        <f t="shared" si="57"/>
        <v>318.01284899999996</v>
      </c>
      <c r="AQ63" s="164">
        <f t="shared" si="57"/>
        <v>29.382147199999995</v>
      </c>
      <c r="AR63" s="164">
        <f t="shared" si="57"/>
        <v>0</v>
      </c>
      <c r="AS63" s="164">
        <f t="shared" si="57"/>
        <v>0</v>
      </c>
      <c r="AT63" s="164">
        <f t="shared" si="57"/>
        <v>0</v>
      </c>
      <c r="AU63" s="164">
        <f t="shared" si="57"/>
        <v>0</v>
      </c>
      <c r="AV63" s="164">
        <f t="shared" si="57"/>
        <v>0</v>
      </c>
      <c r="AW63" s="164">
        <f t="shared" si="57"/>
        <v>0</v>
      </c>
      <c r="AX63" s="158">
        <f>AX64+AX66+AX67</f>
        <v>360.02551839999995</v>
      </c>
      <c r="AY63" s="15">
        <f t="shared" si="25"/>
        <v>7.0535417715410205</v>
      </c>
      <c r="AZ63" s="4" t="s">
        <v>110</v>
      </c>
      <c r="BA63" s="4">
        <v>7.803064138939511</v>
      </c>
      <c r="BB63" t="s">
        <v>110</v>
      </c>
    </row>
    <row r="64" spans="1:54" ht="12.75">
      <c r="A64" s="64" t="s">
        <v>48</v>
      </c>
      <c r="B64" s="65">
        <v>1.11</v>
      </c>
      <c r="C64" s="65">
        <v>2.46</v>
      </c>
      <c r="D64" s="65">
        <v>97.71</v>
      </c>
      <c r="E64" s="65">
        <v>12.92</v>
      </c>
      <c r="F64" s="65"/>
      <c r="G64" s="65"/>
      <c r="H64" s="65"/>
      <c r="I64" s="65"/>
      <c r="J64" s="65"/>
      <c r="K64" s="65"/>
      <c r="L64" s="71">
        <v>114.2</v>
      </c>
      <c r="N64" s="3" t="s">
        <v>48</v>
      </c>
      <c r="O64" s="30">
        <v>1</v>
      </c>
      <c r="P64" s="30">
        <v>1</v>
      </c>
      <c r="Q64" s="30">
        <v>1</v>
      </c>
      <c r="R64" s="30">
        <v>1</v>
      </c>
      <c r="S64" s="30">
        <v>1</v>
      </c>
      <c r="T64" s="30">
        <v>1</v>
      </c>
      <c r="U64" s="30">
        <v>1</v>
      </c>
      <c r="V64" s="30">
        <v>1</v>
      </c>
      <c r="W64" s="30">
        <v>1</v>
      </c>
      <c r="X64" s="30">
        <v>1</v>
      </c>
      <c r="Y64" s="36"/>
      <c r="Z64" s="3" t="s">
        <v>48</v>
      </c>
      <c r="AA64" s="209">
        <f aca="true" t="shared" si="58" ref="AA64:AD65">O64*B64</f>
        <v>1.11</v>
      </c>
      <c r="AB64" s="209">
        <f t="shared" si="58"/>
        <v>2.46</v>
      </c>
      <c r="AC64" s="209">
        <f t="shared" si="58"/>
        <v>97.71</v>
      </c>
      <c r="AD64" s="209">
        <f t="shared" si="58"/>
        <v>12.92</v>
      </c>
      <c r="AE64" s="209"/>
      <c r="AF64" s="209"/>
      <c r="AG64" s="209"/>
      <c r="AH64" s="209"/>
      <c r="AI64" s="209"/>
      <c r="AJ64" s="209"/>
      <c r="AK64" s="215">
        <f t="shared" si="1"/>
        <v>114.2</v>
      </c>
      <c r="AM64" s="110" t="s">
        <v>48</v>
      </c>
      <c r="AN64" s="157">
        <f aca="true" t="shared" si="59" ref="AN64:AT67">AA64*AN$6</f>
        <v>4.2823245000000005</v>
      </c>
      <c r="AO64" s="157">
        <f t="shared" si="59"/>
        <v>7.6923461999999985</v>
      </c>
      <c r="AP64" s="157">
        <f t="shared" si="59"/>
        <v>305.53623869999996</v>
      </c>
      <c r="AQ64" s="157">
        <f t="shared" si="59"/>
        <v>29.382147199999995</v>
      </c>
      <c r="AR64" s="157">
        <f t="shared" si="59"/>
        <v>0</v>
      </c>
      <c r="AS64" s="157">
        <f t="shared" si="59"/>
        <v>0</v>
      </c>
      <c r="AT64" s="157">
        <f t="shared" si="59"/>
        <v>0</v>
      </c>
      <c r="AU64" s="157">
        <f t="shared" si="38"/>
        <v>0</v>
      </c>
      <c r="AV64" s="157">
        <f aca="true" t="shared" si="60" ref="AV64:AW67">AV$32*AI64/AI$32</f>
        <v>0</v>
      </c>
      <c r="AW64" s="157">
        <f t="shared" si="60"/>
        <v>0</v>
      </c>
      <c r="AX64" s="158">
        <f>SUM(AN64:AW64)</f>
        <v>346.89305659999997</v>
      </c>
      <c r="AY64" s="4">
        <f t="shared" si="25"/>
        <v>6.796253431866855</v>
      </c>
      <c r="AZ64" s="4" t="s">
        <v>110</v>
      </c>
      <c r="BA64" s="4">
        <v>7.518435865413295</v>
      </c>
      <c r="BB64" t="s">
        <v>110</v>
      </c>
    </row>
    <row r="65" spans="1:53" s="17" customFormat="1" ht="12.75">
      <c r="A65" s="77" t="s">
        <v>49</v>
      </c>
      <c r="B65" s="78">
        <v>0.16</v>
      </c>
      <c r="C65" s="78">
        <v>2.46</v>
      </c>
      <c r="D65" s="78">
        <v>68.03</v>
      </c>
      <c r="E65" s="78">
        <v>12.92</v>
      </c>
      <c r="F65" s="78"/>
      <c r="G65" s="78"/>
      <c r="H65" s="78"/>
      <c r="I65" s="78"/>
      <c r="J65" s="78"/>
      <c r="K65" s="78"/>
      <c r="L65" s="97">
        <v>83.57</v>
      </c>
      <c r="M65" s="50"/>
      <c r="N65" s="7" t="s">
        <v>49</v>
      </c>
      <c r="O65" s="30">
        <v>1</v>
      </c>
      <c r="P65" s="30">
        <v>1</v>
      </c>
      <c r="Q65" s="30">
        <v>1</v>
      </c>
      <c r="R65" s="30">
        <v>1</v>
      </c>
      <c r="S65" s="30">
        <v>1</v>
      </c>
      <c r="T65" s="30">
        <v>1</v>
      </c>
      <c r="U65" s="30">
        <v>1</v>
      </c>
      <c r="V65" s="30">
        <v>1</v>
      </c>
      <c r="W65" s="30">
        <v>1</v>
      </c>
      <c r="X65" s="30">
        <v>1</v>
      </c>
      <c r="Y65" s="42"/>
      <c r="Z65" s="7" t="s">
        <v>49</v>
      </c>
      <c r="AA65" s="209">
        <f t="shared" si="58"/>
        <v>0.16</v>
      </c>
      <c r="AB65" s="209">
        <f t="shared" si="58"/>
        <v>2.46</v>
      </c>
      <c r="AC65" s="209">
        <f t="shared" si="58"/>
        <v>68.03</v>
      </c>
      <c r="AD65" s="209">
        <f t="shared" si="58"/>
        <v>12.92</v>
      </c>
      <c r="AE65" s="221"/>
      <c r="AF65" s="221"/>
      <c r="AG65" s="221"/>
      <c r="AH65" s="221"/>
      <c r="AI65" s="221"/>
      <c r="AJ65" s="221"/>
      <c r="AK65" s="222">
        <f t="shared" si="1"/>
        <v>83.57000000000001</v>
      </c>
      <c r="AL65" s="50"/>
      <c r="AM65" s="113" t="s">
        <v>49</v>
      </c>
      <c r="AN65" s="165">
        <f t="shared" si="59"/>
        <v>0.6172719999999999</v>
      </c>
      <c r="AO65" s="165">
        <f t="shared" si="59"/>
        <v>7.6923461999999985</v>
      </c>
      <c r="AP65" s="165">
        <f t="shared" si="59"/>
        <v>212.7277691</v>
      </c>
      <c r="AQ65" s="165">
        <f t="shared" si="59"/>
        <v>29.382147199999995</v>
      </c>
      <c r="AR65" s="165">
        <f t="shared" si="59"/>
        <v>0</v>
      </c>
      <c r="AS65" s="165">
        <f t="shared" si="59"/>
        <v>0</v>
      </c>
      <c r="AT65" s="165">
        <f t="shared" si="59"/>
        <v>0</v>
      </c>
      <c r="AU65" s="165">
        <f t="shared" si="38"/>
        <v>0</v>
      </c>
      <c r="AV65" s="165">
        <f t="shared" si="60"/>
        <v>0</v>
      </c>
      <c r="AW65" s="165">
        <f t="shared" si="60"/>
        <v>0</v>
      </c>
      <c r="AX65" s="166">
        <f>SUM(AN65:AW65)</f>
        <v>250.41953449999997</v>
      </c>
      <c r="AY65" s="4"/>
      <c r="AZ65" s="4"/>
      <c r="BA65" s="196"/>
    </row>
    <row r="66" spans="1:54" ht="12.75">
      <c r="A66" s="64" t="s">
        <v>50</v>
      </c>
      <c r="B66" s="65"/>
      <c r="C66" s="65"/>
      <c r="D66" s="65">
        <v>3.38</v>
      </c>
      <c r="E66" s="65"/>
      <c r="F66" s="65"/>
      <c r="G66" s="65"/>
      <c r="H66" s="65"/>
      <c r="I66" s="65"/>
      <c r="J66" s="65"/>
      <c r="K66" s="65"/>
      <c r="L66" s="71">
        <v>3.38</v>
      </c>
      <c r="N66" s="3" t="s">
        <v>50</v>
      </c>
      <c r="O66" s="30">
        <v>1</v>
      </c>
      <c r="P66" s="30">
        <v>1</v>
      </c>
      <c r="Q66" s="30">
        <v>1</v>
      </c>
      <c r="R66" s="30">
        <v>1</v>
      </c>
      <c r="S66" s="30">
        <v>1</v>
      </c>
      <c r="T66" s="30">
        <v>1</v>
      </c>
      <c r="U66" s="30">
        <v>1</v>
      </c>
      <c r="V66" s="30">
        <v>1</v>
      </c>
      <c r="W66" s="30">
        <v>1</v>
      </c>
      <c r="X66" s="30">
        <v>1</v>
      </c>
      <c r="Y66" s="36"/>
      <c r="Z66" s="3" t="s">
        <v>50</v>
      </c>
      <c r="AA66" s="209"/>
      <c r="AB66" s="209"/>
      <c r="AC66" s="209">
        <f>Q66*D66</f>
        <v>3.38</v>
      </c>
      <c r="AD66" s="209"/>
      <c r="AE66" s="209"/>
      <c r="AF66" s="209"/>
      <c r="AG66" s="209"/>
      <c r="AH66" s="209"/>
      <c r="AI66" s="209"/>
      <c r="AJ66" s="209"/>
      <c r="AK66" s="215">
        <f t="shared" si="1"/>
        <v>3.38</v>
      </c>
      <c r="AM66" s="110" t="s">
        <v>50</v>
      </c>
      <c r="AN66" s="157"/>
      <c r="AO66" s="157">
        <f t="shared" si="59"/>
        <v>0</v>
      </c>
      <c r="AP66" s="157">
        <f t="shared" si="59"/>
        <v>10.569158599999998</v>
      </c>
      <c r="AQ66" s="157">
        <f t="shared" si="59"/>
        <v>0</v>
      </c>
      <c r="AR66" s="157">
        <f t="shared" si="59"/>
        <v>0</v>
      </c>
      <c r="AS66" s="157">
        <f t="shared" si="59"/>
        <v>0</v>
      </c>
      <c r="AT66" s="157">
        <f t="shared" si="59"/>
        <v>0</v>
      </c>
      <c r="AU66" s="157">
        <f t="shared" si="38"/>
        <v>0</v>
      </c>
      <c r="AV66" s="157">
        <f t="shared" si="60"/>
        <v>0</v>
      </c>
      <c r="AW66" s="157">
        <f t="shared" si="60"/>
        <v>0</v>
      </c>
      <c r="AX66" s="158">
        <f>SUM(AN66:AW66)</f>
        <v>10.569158599999998</v>
      </c>
      <c r="AY66" s="197">
        <f t="shared" si="25"/>
        <v>0.20706866003957683</v>
      </c>
      <c r="AZ66" s="191" t="s">
        <v>110</v>
      </c>
      <c r="BA66" s="191">
        <v>0.229072158042962</v>
      </c>
      <c r="BB66" s="124" t="s">
        <v>110</v>
      </c>
    </row>
    <row r="67" spans="1:54" ht="13.5" thickBot="1">
      <c r="A67" s="79" t="s">
        <v>51</v>
      </c>
      <c r="B67" s="65">
        <v>0.17</v>
      </c>
      <c r="C67" s="65"/>
      <c r="D67" s="65">
        <v>0.61</v>
      </c>
      <c r="E67" s="65"/>
      <c r="F67" s="65"/>
      <c r="G67" s="65"/>
      <c r="H67" s="65"/>
      <c r="I67" s="65"/>
      <c r="J67" s="65"/>
      <c r="K67" s="65"/>
      <c r="L67" s="71">
        <v>0.77</v>
      </c>
      <c r="N67" s="8" t="s">
        <v>51</v>
      </c>
      <c r="O67" s="30">
        <v>1</v>
      </c>
      <c r="P67" s="30">
        <v>1</v>
      </c>
      <c r="Q67" s="30">
        <v>1</v>
      </c>
      <c r="R67" s="30">
        <v>1</v>
      </c>
      <c r="S67" s="30">
        <v>1</v>
      </c>
      <c r="T67" s="30">
        <v>1</v>
      </c>
      <c r="U67" s="30">
        <v>1</v>
      </c>
      <c r="V67" s="30">
        <v>1</v>
      </c>
      <c r="W67" s="30">
        <v>1</v>
      </c>
      <c r="X67" s="30">
        <v>1</v>
      </c>
      <c r="Y67" s="43"/>
      <c r="Z67" s="8" t="s">
        <v>51</v>
      </c>
      <c r="AA67" s="209">
        <f>O67*B67</f>
        <v>0.17</v>
      </c>
      <c r="AB67" s="209"/>
      <c r="AC67" s="209">
        <f>Q67*D67</f>
        <v>0.61</v>
      </c>
      <c r="AD67" s="209"/>
      <c r="AE67" s="209"/>
      <c r="AF67" s="209"/>
      <c r="AG67" s="209"/>
      <c r="AH67" s="209"/>
      <c r="AI67" s="209"/>
      <c r="AJ67" s="209"/>
      <c r="AK67" s="223">
        <f t="shared" si="1"/>
        <v>0.78</v>
      </c>
      <c r="AM67" s="114" t="s">
        <v>51</v>
      </c>
      <c r="AN67" s="167">
        <f t="shared" si="59"/>
        <v>0.6558515</v>
      </c>
      <c r="AO67" s="168">
        <f t="shared" si="59"/>
        <v>0</v>
      </c>
      <c r="AP67" s="168">
        <f t="shared" si="59"/>
        <v>1.9074516999999998</v>
      </c>
      <c r="AQ67" s="168">
        <f t="shared" si="59"/>
        <v>0</v>
      </c>
      <c r="AR67" s="168">
        <f t="shared" si="59"/>
        <v>0</v>
      </c>
      <c r="AS67" s="168">
        <f t="shared" si="59"/>
        <v>0</v>
      </c>
      <c r="AT67" s="168">
        <f t="shared" si="59"/>
        <v>0</v>
      </c>
      <c r="AU67" s="168">
        <f t="shared" si="38"/>
        <v>0</v>
      </c>
      <c r="AV67" s="168">
        <f t="shared" si="60"/>
        <v>0</v>
      </c>
      <c r="AW67" s="168">
        <f t="shared" si="60"/>
        <v>0</v>
      </c>
      <c r="AX67" s="169">
        <f>SUM(AN67:AW67)</f>
        <v>2.5633032</v>
      </c>
      <c r="AY67" s="198">
        <f t="shared" si="25"/>
        <v>0.05021967963458885</v>
      </c>
      <c r="AZ67" s="199" t="s">
        <v>110</v>
      </c>
      <c r="BA67" s="193">
        <v>0.0555561154832543</v>
      </c>
      <c r="BB67" s="182" t="s">
        <v>110</v>
      </c>
    </row>
    <row r="68" spans="1:54" ht="15.75">
      <c r="A68" s="349" t="s">
        <v>52</v>
      </c>
      <c r="B68" s="350"/>
      <c r="C68" s="350"/>
      <c r="D68" s="350"/>
      <c r="E68" s="350"/>
      <c r="F68" s="350"/>
      <c r="G68" s="350"/>
      <c r="H68" s="350"/>
      <c r="I68" s="350"/>
      <c r="J68" s="350"/>
      <c r="K68" s="350"/>
      <c r="L68" s="351"/>
      <c r="N68" s="354"/>
      <c r="O68" s="354"/>
      <c r="P68" s="354"/>
      <c r="Q68" s="354"/>
      <c r="R68" s="354"/>
      <c r="S68" s="354"/>
      <c r="T68" s="354"/>
      <c r="U68" s="354"/>
      <c r="V68" s="354"/>
      <c r="W68" s="354"/>
      <c r="X68" s="354"/>
      <c r="Y68" s="49"/>
      <c r="Z68" s="349" t="s">
        <v>52</v>
      </c>
      <c r="AA68" s="350"/>
      <c r="AB68" s="350"/>
      <c r="AC68" s="350"/>
      <c r="AD68" s="350"/>
      <c r="AE68" s="350"/>
      <c r="AF68" s="350"/>
      <c r="AG68" s="350"/>
      <c r="AH68" s="350"/>
      <c r="AI68" s="350"/>
      <c r="AJ68" s="350"/>
      <c r="AK68" s="351"/>
      <c r="AY68" s="200">
        <f>SUM(AY20:AY67)-(AY22+AY23+AY24+AY34+AY48+AY57+AY63)</f>
        <v>99.99999999999999</v>
      </c>
      <c r="AZ68" s="200" t="s">
        <v>110</v>
      </c>
      <c r="BA68" s="4">
        <v>100</v>
      </c>
      <c r="BB68" t="s">
        <v>110</v>
      </c>
    </row>
    <row r="69" spans="1:37" ht="16.5" customHeight="1">
      <c r="A69" s="80" t="s">
        <v>53</v>
      </c>
      <c r="B69" s="75">
        <v>1012.69</v>
      </c>
      <c r="C69" s="75">
        <v>0.02</v>
      </c>
      <c r="D69" s="75">
        <v>109.87</v>
      </c>
      <c r="E69" s="75">
        <v>801.95</v>
      </c>
      <c r="F69" s="75">
        <v>925.32</v>
      </c>
      <c r="G69" s="75">
        <v>497.6</v>
      </c>
      <c r="H69" s="75">
        <v>120.81</v>
      </c>
      <c r="I69" s="75">
        <v>108.09</v>
      </c>
      <c r="J69" s="75"/>
      <c r="K69" s="75">
        <v>0.63</v>
      </c>
      <c r="L69" s="81">
        <v>3577</v>
      </c>
      <c r="N69" s="16"/>
      <c r="O69" s="16">
        <v>41.9</v>
      </c>
      <c r="P69" s="16"/>
      <c r="Q69" s="16"/>
      <c r="R69" s="16"/>
      <c r="S69" s="16"/>
      <c r="T69" s="16"/>
      <c r="U69" s="16"/>
      <c r="V69" s="16"/>
      <c r="W69" s="16"/>
      <c r="X69" s="16"/>
      <c r="Y69" s="44"/>
      <c r="Z69" s="9" t="s">
        <v>53</v>
      </c>
      <c r="AA69" s="207">
        <f aca="true" t="shared" si="61" ref="AA69:AK69">SUM(AA70:AA71)</f>
        <v>1012.7</v>
      </c>
      <c r="AB69" s="207"/>
      <c r="AC69" s="207">
        <f t="shared" si="61"/>
        <v>634.7465471621522</v>
      </c>
      <c r="AD69" s="207">
        <f t="shared" si="61"/>
        <v>801.96</v>
      </c>
      <c r="AE69" s="207">
        <f t="shared" si="61"/>
        <v>912.9599999999999</v>
      </c>
      <c r="AF69" s="207">
        <f t="shared" si="61"/>
        <v>497.6</v>
      </c>
      <c r="AG69" s="207">
        <f t="shared" si="61"/>
        <v>118.98</v>
      </c>
      <c r="AH69" s="207">
        <f t="shared" si="61"/>
        <v>108.09</v>
      </c>
      <c r="AI69" s="207"/>
      <c r="AJ69" s="207">
        <f t="shared" si="61"/>
        <v>0.6299284659090909</v>
      </c>
      <c r="AK69" s="208">
        <f t="shared" si="61"/>
        <v>4087.6664756280616</v>
      </c>
    </row>
    <row r="70" spans="1:37" ht="12.75">
      <c r="A70" s="82" t="s">
        <v>54</v>
      </c>
      <c r="B70" s="70">
        <v>769.95</v>
      </c>
      <c r="C70" s="70"/>
      <c r="D70" s="70">
        <v>64.64</v>
      </c>
      <c r="E70" s="70">
        <v>503.26</v>
      </c>
      <c r="F70" s="70">
        <v>912.96</v>
      </c>
      <c r="G70" s="70">
        <v>497.6</v>
      </c>
      <c r="H70" s="70">
        <v>118.98</v>
      </c>
      <c r="I70" s="70">
        <v>55.32</v>
      </c>
      <c r="J70" s="70"/>
      <c r="K70" s="70">
        <v>0.36</v>
      </c>
      <c r="L70" s="81">
        <v>2923.07</v>
      </c>
      <c r="N70" s="92"/>
      <c r="O70" s="92"/>
      <c r="P70" s="92"/>
      <c r="Q70" s="92"/>
      <c r="R70" s="92"/>
      <c r="S70" s="92"/>
      <c r="T70" s="92"/>
      <c r="U70" s="92"/>
      <c r="V70" s="92"/>
      <c r="W70" s="92"/>
      <c r="X70" s="92"/>
      <c r="Y70" s="45"/>
      <c r="Z70" s="10" t="s">
        <v>54</v>
      </c>
      <c r="AA70" s="209">
        <f>B70*IF(O4&gt;1,(B4*B22+O4*(AA22-B22)),(B4*AA22))/(B4*B22)</f>
        <v>769.95</v>
      </c>
      <c r="AB70" s="209"/>
      <c r="AC70" s="209">
        <f>D70*IF(Q4&gt;1,(D4*D23+Q4*(AC22-D23)),(D4*AC22))/(D4*D23)</f>
        <v>104.62434127979924</v>
      </c>
      <c r="AD70" s="209">
        <f>E70*IF(R4&gt;1,(E4*E22+R4*(AD22-E22)),(E4*AD22))/(E4*E22)</f>
        <v>503.26000000000005</v>
      </c>
      <c r="AE70" s="209">
        <f>F70*IF(S4&gt;1,(F4*F22+S4*(AE22-F22)),(F4*AE22))/(F4*F22)</f>
        <v>912.9599999999999</v>
      </c>
      <c r="AF70" s="209">
        <f>G70*IF(T4&gt;1,(G4*G22+T4*(AF22-G22)),(G4*AF22))/(G4*G22)</f>
        <v>497.6</v>
      </c>
      <c r="AG70" s="209">
        <f>H70*IF(U4&gt;1,(H4*H22+U4*(AG22-H22)),(H4*AG22))/(H4*H22)</f>
        <v>118.98</v>
      </c>
      <c r="AH70" s="209">
        <f>I70*IF(V4&gt;1,(I4*I22+V4*(AH22-I22)),(I4*AH22))/(I4*I22)</f>
        <v>55.32000000000001</v>
      </c>
      <c r="AI70" s="209"/>
      <c r="AJ70" s="209">
        <f>((AJ22)/(K22))*K70</f>
        <v>0.36</v>
      </c>
      <c r="AK70" s="208">
        <f t="shared" si="1"/>
        <v>2963.0543412797992</v>
      </c>
    </row>
    <row r="71" spans="1:37" ht="12.75">
      <c r="A71" s="82" t="s">
        <v>55</v>
      </c>
      <c r="B71" s="70">
        <v>242.75</v>
      </c>
      <c r="C71" s="70">
        <v>0.02</v>
      </c>
      <c r="D71" s="70">
        <v>45.23</v>
      </c>
      <c r="E71" s="70">
        <v>298.7</v>
      </c>
      <c r="F71" s="70">
        <v>12.36</v>
      </c>
      <c r="G71" s="70"/>
      <c r="H71" s="70">
        <v>1.83</v>
      </c>
      <c r="I71" s="70">
        <v>52.77</v>
      </c>
      <c r="J71" s="70"/>
      <c r="K71" s="70">
        <v>0.27</v>
      </c>
      <c r="L71" s="81">
        <v>653.93</v>
      </c>
      <c r="N71" s="92"/>
      <c r="O71" s="92"/>
      <c r="P71" s="92"/>
      <c r="Q71" s="92"/>
      <c r="R71" s="92"/>
      <c r="S71" s="92"/>
      <c r="T71" s="92"/>
      <c r="U71" s="92"/>
      <c r="V71" s="92"/>
      <c r="W71" s="92"/>
      <c r="X71" s="92"/>
      <c r="Y71" s="45"/>
      <c r="Z71" s="10" t="s">
        <v>55</v>
      </c>
      <c r="AA71" s="209">
        <f>B71*IF(O5&gt;1,(B5*B23+O5*(AA23-B23)),(B5*AA23))/(B5*B23)</f>
        <v>242.74999999999997</v>
      </c>
      <c r="AB71" s="209"/>
      <c r="AC71" s="209">
        <f>D71*IF(Q5&gt;1,(D5*D24+Q5*(AC23-D24)),(D5*AC23))/(D5*D24)</f>
        <v>530.122205882353</v>
      </c>
      <c r="AD71" s="209">
        <f>E71*IF(R5&gt;1,(E5*E23+R5*(AD23-E23)),(E5*AD23))/(E5*E23)</f>
        <v>298.7</v>
      </c>
      <c r="AE71" s="209"/>
      <c r="AF71" s="209"/>
      <c r="AG71" s="209"/>
      <c r="AH71" s="209">
        <f>I71*IF(V5&gt;1,(I5*I23+V5*(AH23-I23)),(I5*AH23))/(I5*I23)</f>
        <v>52.77</v>
      </c>
      <c r="AI71" s="209"/>
      <c r="AJ71" s="209">
        <f>((AJ23)/(K23))*K71</f>
        <v>0.2699284659090909</v>
      </c>
      <c r="AK71" s="208">
        <f t="shared" si="1"/>
        <v>1124.612134348262</v>
      </c>
    </row>
    <row r="72" spans="1:37" ht="17.25" customHeight="1">
      <c r="A72" s="80" t="s">
        <v>56</v>
      </c>
      <c r="B72" s="75">
        <v>722.42</v>
      </c>
      <c r="C72" s="75">
        <v>0.08</v>
      </c>
      <c r="D72" s="75">
        <v>178.56</v>
      </c>
      <c r="E72" s="75">
        <v>1007.85</v>
      </c>
      <c r="F72" s="75">
        <v>4.85</v>
      </c>
      <c r="G72" s="75"/>
      <c r="H72" s="75">
        <v>24.2</v>
      </c>
      <c r="I72" s="75">
        <v>395.02</v>
      </c>
      <c r="J72" s="75">
        <v>3.88</v>
      </c>
      <c r="K72" s="75">
        <v>232.82</v>
      </c>
      <c r="L72" s="81">
        <v>2569.67</v>
      </c>
      <c r="N72" s="16"/>
      <c r="O72" s="92"/>
      <c r="P72" s="16"/>
      <c r="Q72" s="16"/>
      <c r="R72" s="16"/>
      <c r="S72" s="16"/>
      <c r="T72" s="16"/>
      <c r="U72" s="16"/>
      <c r="V72" s="16"/>
      <c r="W72" s="16"/>
      <c r="X72" s="16"/>
      <c r="Y72" s="44"/>
      <c r="Z72" s="9" t="s">
        <v>56</v>
      </c>
      <c r="AA72" s="207">
        <f>SUM(AA73:AA74)</f>
        <v>722.4200000000001</v>
      </c>
      <c r="AB72" s="207"/>
      <c r="AC72" s="207">
        <f aca="true" t="shared" si="62" ref="AC72:AK72">SUM(AC73:AC74)</f>
        <v>809.5173333333333</v>
      </c>
      <c r="AD72" s="207">
        <f t="shared" si="62"/>
        <v>1007.85</v>
      </c>
      <c r="AE72" s="207"/>
      <c r="AF72" s="207"/>
      <c r="AG72" s="207">
        <f t="shared" si="62"/>
        <v>0</v>
      </c>
      <c r="AH72" s="207">
        <f t="shared" si="62"/>
        <v>395.02</v>
      </c>
      <c r="AI72" s="207">
        <f t="shared" si="62"/>
        <v>2.15</v>
      </c>
      <c r="AJ72" s="207">
        <f t="shared" si="62"/>
        <v>233.9607767874956</v>
      </c>
      <c r="AK72" s="208">
        <f t="shared" si="62"/>
        <v>3170.918110120829</v>
      </c>
    </row>
    <row r="73" spans="1:37" ht="12.75">
      <c r="A73" s="82" t="s">
        <v>57</v>
      </c>
      <c r="B73" s="70">
        <v>583.61</v>
      </c>
      <c r="C73" s="70">
        <v>0.08</v>
      </c>
      <c r="D73" s="70">
        <v>154.3</v>
      </c>
      <c r="E73" s="70">
        <v>861.97</v>
      </c>
      <c r="F73" s="83">
        <v>4.85</v>
      </c>
      <c r="G73" s="83"/>
      <c r="H73" s="70">
        <v>8.28</v>
      </c>
      <c r="I73" s="70">
        <v>290.55</v>
      </c>
      <c r="J73" s="83">
        <v>1.73</v>
      </c>
      <c r="K73" s="70">
        <v>92.89</v>
      </c>
      <c r="L73" s="98">
        <v>1998.25</v>
      </c>
      <c r="N73" s="92"/>
      <c r="O73" s="92"/>
      <c r="P73" s="92"/>
      <c r="Q73" s="92"/>
      <c r="R73" s="92"/>
      <c r="S73" s="93"/>
      <c r="T73" s="93"/>
      <c r="U73" s="92"/>
      <c r="V73" s="92"/>
      <c r="W73" s="93"/>
      <c r="X73" s="92"/>
      <c r="Y73" s="46"/>
      <c r="Z73" s="10" t="s">
        <v>57</v>
      </c>
      <c r="AA73" s="210">
        <f>B73*IF(O6&gt;1,(B6*B24+O6*(AA24-B24)),(B6*AA24))/(B6*B24)</f>
        <v>583.61</v>
      </c>
      <c r="AB73" s="211"/>
      <c r="AC73" s="211">
        <f>D73*IF(Q6&gt;1,(D6*D25+Q6*(AC24-D25)),(D6*AC24))/(D6*D25)</f>
        <v>699.4933333333333</v>
      </c>
      <c r="AD73" s="211">
        <f>E73*IF(R6&gt;1,(E6*E24+R6*(AD24-E24)),(E6*AD24))/(E6*E24)</f>
        <v>861.97</v>
      </c>
      <c r="AE73" s="211"/>
      <c r="AF73" s="211"/>
      <c r="AG73" s="211"/>
      <c r="AH73" s="211">
        <f>I73*IF(V6&gt;1,(I6*I24+V6*(AH24-I24)),(I6*AH24))/(I6*I24)</f>
        <v>290.55</v>
      </c>
      <c r="AI73" s="211"/>
      <c r="AJ73" s="211">
        <f>((X6*AJ23)/(K6*K23))*K73</f>
        <v>92.8653896233165</v>
      </c>
      <c r="AK73" s="208">
        <f t="shared" si="1"/>
        <v>2528.4887229566502</v>
      </c>
    </row>
    <row r="74" spans="1:46" ht="13.5" thickBot="1">
      <c r="A74" s="84" t="s">
        <v>58</v>
      </c>
      <c r="B74" s="85">
        <v>138.81</v>
      </c>
      <c r="C74" s="86"/>
      <c r="D74" s="85">
        <v>24.27</v>
      </c>
      <c r="E74" s="85">
        <v>145.88</v>
      </c>
      <c r="F74" s="85"/>
      <c r="G74" s="85"/>
      <c r="H74" s="85">
        <v>15.92</v>
      </c>
      <c r="I74" s="85">
        <v>104.47</v>
      </c>
      <c r="J74" s="85">
        <v>2.15</v>
      </c>
      <c r="K74" s="85">
        <v>139.93</v>
      </c>
      <c r="L74" s="99">
        <v>571.42</v>
      </c>
      <c r="N74" s="92"/>
      <c r="O74" s="92"/>
      <c r="P74" s="93"/>
      <c r="Q74" s="92"/>
      <c r="R74" s="92"/>
      <c r="S74" s="92"/>
      <c r="T74" s="92"/>
      <c r="U74" s="92"/>
      <c r="V74" s="92"/>
      <c r="W74" s="92"/>
      <c r="X74" s="92"/>
      <c r="Y74" s="47"/>
      <c r="Z74" s="11" t="s">
        <v>58</v>
      </c>
      <c r="AA74" s="212">
        <f>B74*IF(O7&gt;1,(B7*B24+O7*(AA24-B24)),(B7*AA24))/(B7*B24)</f>
        <v>138.81</v>
      </c>
      <c r="AB74" s="213"/>
      <c r="AC74" s="213">
        <f>D74*IF(Q7&gt;1,(D7*D25+Q7*(AC24-D25)),(D7*AC24))/(D7*D25)</f>
        <v>110.02399999999999</v>
      </c>
      <c r="AD74" s="213">
        <f>E74*IF(R7&gt;1,(E7*E24+R7*(AD24-E24)),(E7*AD24))/(E7*E24)</f>
        <v>145.88</v>
      </c>
      <c r="AE74" s="213"/>
      <c r="AF74" s="213"/>
      <c r="AG74" s="213"/>
      <c r="AH74" s="213">
        <f>I74*IF(V7&gt;1,(I7*I24+V7*(AH24-I24)),(I7*AH24))/(I7*I24)</f>
        <v>104.47</v>
      </c>
      <c r="AI74" s="213">
        <f>J74</f>
        <v>2.15</v>
      </c>
      <c r="AJ74" s="213">
        <f>((X7*AJ24)/(K7*K24))*K74</f>
        <v>141.0953871641791</v>
      </c>
      <c r="AK74" s="214">
        <f t="shared" si="1"/>
        <v>642.429387164179</v>
      </c>
      <c r="AT74" s="32"/>
    </row>
    <row r="75" ht="12.75">
      <c r="B75" s="10" t="s">
        <v>131</v>
      </c>
    </row>
    <row r="76" ht="12.75">
      <c r="B76" s="10" t="s">
        <v>87</v>
      </c>
    </row>
    <row r="77" ht="12.75">
      <c r="B77" t="s">
        <v>89</v>
      </c>
    </row>
    <row r="78" ht="12.75">
      <c r="B78" t="s">
        <v>123</v>
      </c>
    </row>
  </sheetData>
  <sheetProtection/>
  <mergeCells count="17">
    <mergeCell ref="AM9:BB9"/>
    <mergeCell ref="A68:L68"/>
    <mergeCell ref="Z8:AK8"/>
    <mergeCell ref="Z9:AK9"/>
    <mergeCell ref="Z68:AK68"/>
    <mergeCell ref="N9:X9"/>
    <mergeCell ref="N68:X68"/>
    <mergeCell ref="B1:L1"/>
    <mergeCell ref="N1:X1"/>
    <mergeCell ref="A8:L8"/>
    <mergeCell ref="A9:L9"/>
    <mergeCell ref="Z1:AK1"/>
    <mergeCell ref="AM1:AY1"/>
    <mergeCell ref="Z2:AK4"/>
    <mergeCell ref="Z5:AK7"/>
    <mergeCell ref="AN4:AU4"/>
    <mergeCell ref="AN5:AW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B268"/>
  <sheetViews>
    <sheetView zoomScale="75" zoomScaleNormal="75" workbookViewId="0" topLeftCell="A9">
      <pane xSplit="1" ySplit="3" topLeftCell="B16" activePane="bottomRight" state="frozen"/>
      <selection pane="topLeft" activeCell="A9" sqref="A9"/>
      <selection pane="topRight" activeCell="B9" sqref="B9"/>
      <selection pane="bottomLeft" activeCell="A12" sqref="A12"/>
      <selection pane="bottomRight" activeCell="AD39" sqref="AD39"/>
    </sheetView>
  </sheetViews>
  <sheetFormatPr defaultColWidth="9.140625" defaultRowHeight="12.75"/>
  <cols>
    <col min="1" max="1" width="30.28125" style="0" customWidth="1"/>
    <col min="4" max="4" width="10.7109375" style="0" customWidth="1"/>
    <col min="8" max="8" width="11.57421875" style="0" customWidth="1"/>
    <col min="9" max="9" width="12.28125" style="0" customWidth="1"/>
    <col min="13" max="13" width="1.57421875" style="33" customWidth="1"/>
    <col min="14" max="15" width="9.28125" style="0" customWidth="1"/>
    <col min="16" max="16" width="10.57421875" style="0" customWidth="1"/>
    <col min="17" max="19" width="9.28125" style="0" customWidth="1"/>
    <col min="20" max="20" width="12.57421875" style="0" customWidth="1"/>
    <col min="21" max="21" width="11.57421875" style="0" customWidth="1"/>
    <col min="22" max="24" width="9.28125" style="0" customWidth="1"/>
    <col min="25" max="25" width="1.57421875" style="33" customWidth="1"/>
    <col min="26" max="26" width="10.28125" style="0" customWidth="1"/>
    <col min="27" max="36" width="9.28125" style="0" customWidth="1"/>
    <col min="37" max="37" width="1.57421875" style="33" customWidth="1"/>
    <col min="46" max="46" width="10.8515625" style="0" customWidth="1"/>
    <col min="49" max="49" width="1.57421875" style="0" customWidth="1"/>
  </cols>
  <sheetData>
    <row r="1" spans="1:75" ht="105" customHeight="1">
      <c r="A1" s="225"/>
      <c r="B1" s="338"/>
      <c r="C1" s="338"/>
      <c r="D1" s="338"/>
      <c r="E1" s="338"/>
      <c r="F1" s="338"/>
      <c r="G1" s="338"/>
      <c r="H1" s="338"/>
      <c r="I1" s="338"/>
      <c r="J1" s="338"/>
      <c r="K1" s="338"/>
      <c r="L1" s="339"/>
      <c r="M1" s="226"/>
      <c r="N1" s="254"/>
      <c r="O1" s="254"/>
      <c r="P1" s="254"/>
      <c r="Q1" s="254"/>
      <c r="R1" s="254"/>
      <c r="S1" s="254"/>
      <c r="T1" s="254"/>
      <c r="U1" s="254"/>
      <c r="V1" s="254"/>
      <c r="W1" s="254"/>
      <c r="X1" s="254"/>
      <c r="Y1" s="226"/>
      <c r="Z1" s="254"/>
      <c r="AA1" s="254"/>
      <c r="AB1" s="254"/>
      <c r="AC1" s="254"/>
      <c r="AD1" s="254"/>
      <c r="AE1" s="254"/>
      <c r="AF1" s="254"/>
      <c r="AG1" s="254"/>
      <c r="AH1" s="254"/>
      <c r="AI1" s="254"/>
      <c r="AJ1" s="254"/>
      <c r="AK1" s="226"/>
      <c r="AL1" s="340"/>
      <c r="AM1" s="340"/>
      <c r="AN1" s="340"/>
      <c r="AO1" s="340"/>
      <c r="AP1" s="340"/>
      <c r="AQ1" s="340"/>
      <c r="AR1" s="340"/>
      <c r="AS1" s="340"/>
      <c r="AT1" s="340"/>
      <c r="AU1" s="340"/>
      <c r="AV1" s="340"/>
      <c r="AW1" s="226"/>
      <c r="AX1" s="327"/>
      <c r="AY1" s="327"/>
      <c r="AZ1" s="327"/>
      <c r="BA1" s="327"/>
      <c r="BB1" s="327"/>
      <c r="BC1" s="327"/>
      <c r="BD1" s="327"/>
      <c r="BE1" s="327"/>
      <c r="BF1" s="327"/>
      <c r="BG1" s="327"/>
      <c r="BH1" s="327"/>
      <c r="BI1" s="327"/>
      <c r="BJ1" s="226"/>
      <c r="BK1" s="327" t="s">
        <v>133</v>
      </c>
      <c r="BL1" s="327"/>
      <c r="BM1" s="327"/>
      <c r="BN1" s="327"/>
      <c r="BO1" s="327"/>
      <c r="BP1" s="327"/>
      <c r="BQ1" s="327"/>
      <c r="BR1" s="327"/>
      <c r="BS1" s="327"/>
      <c r="BT1" s="327"/>
      <c r="BU1" s="327"/>
      <c r="BV1" s="327"/>
      <c r="BW1" s="327"/>
    </row>
    <row r="2" spans="2:76" ht="12.75">
      <c r="B2" s="90"/>
      <c r="C2" s="90"/>
      <c r="D2" s="90"/>
      <c r="E2" s="90"/>
      <c r="F2" s="90"/>
      <c r="G2" s="90"/>
      <c r="H2" s="90"/>
      <c r="I2" s="90"/>
      <c r="J2" s="90"/>
      <c r="K2" s="90"/>
      <c r="L2" s="91"/>
      <c r="N2" s="32"/>
      <c r="O2" s="32"/>
      <c r="P2" s="32"/>
      <c r="Q2" s="32"/>
      <c r="R2" s="32"/>
      <c r="S2" s="32"/>
      <c r="T2" s="32"/>
      <c r="U2" s="32"/>
      <c r="V2" s="32"/>
      <c r="W2" s="32"/>
      <c r="X2" s="32"/>
      <c r="Z2" s="32"/>
      <c r="AA2" s="32"/>
      <c r="AB2" s="32"/>
      <c r="AC2" s="32"/>
      <c r="AD2" s="32"/>
      <c r="AE2" s="32"/>
      <c r="AF2" s="32"/>
      <c r="AG2" s="32"/>
      <c r="AH2" s="32"/>
      <c r="AI2" s="32"/>
      <c r="AJ2" s="32"/>
      <c r="AL2" s="32"/>
      <c r="AM2" s="32"/>
      <c r="AN2" s="32"/>
      <c r="AO2" s="32"/>
      <c r="AP2" s="32"/>
      <c r="AQ2" s="32"/>
      <c r="AR2" s="32"/>
      <c r="AS2" s="32"/>
      <c r="AT2" s="32"/>
      <c r="AU2" s="32"/>
      <c r="AV2" s="32"/>
      <c r="AW2" s="33"/>
      <c r="AX2" s="328"/>
      <c r="AY2" s="329"/>
      <c r="AZ2" s="329"/>
      <c r="BA2" s="329"/>
      <c r="BB2" s="329"/>
      <c r="BC2" s="329"/>
      <c r="BD2" s="329"/>
      <c r="BE2" s="329"/>
      <c r="BF2" s="329"/>
      <c r="BG2" s="329"/>
      <c r="BH2" s="329"/>
      <c r="BI2" s="329"/>
      <c r="BJ2" s="33"/>
      <c r="BX2" s="4" t="s">
        <v>104</v>
      </c>
    </row>
    <row r="3" spans="2:76" ht="12.75">
      <c r="B3" s="95"/>
      <c r="L3" s="1"/>
      <c r="N3" s="32"/>
      <c r="O3" s="32"/>
      <c r="P3" s="32"/>
      <c r="Q3" s="32"/>
      <c r="R3" s="32"/>
      <c r="S3" s="32"/>
      <c r="T3" s="32"/>
      <c r="U3" s="32"/>
      <c r="V3" s="32"/>
      <c r="W3" s="32"/>
      <c r="X3" s="32"/>
      <c r="Z3" s="32"/>
      <c r="AA3" s="32"/>
      <c r="AB3" s="32"/>
      <c r="AC3" s="32"/>
      <c r="AD3" s="32"/>
      <c r="AE3" s="32"/>
      <c r="AF3" s="32"/>
      <c r="AG3" s="32"/>
      <c r="AH3" s="32"/>
      <c r="AI3" s="32"/>
      <c r="AJ3" s="32"/>
      <c r="AM3" s="95"/>
      <c r="AW3" s="33"/>
      <c r="AX3" s="329"/>
      <c r="AY3" s="329"/>
      <c r="AZ3" s="329"/>
      <c r="BA3" s="329"/>
      <c r="BB3" s="329"/>
      <c r="BC3" s="329"/>
      <c r="BD3" s="329"/>
      <c r="BE3" s="329"/>
      <c r="BF3" s="329"/>
      <c r="BG3" s="329"/>
      <c r="BH3" s="329"/>
      <c r="BI3" s="329"/>
      <c r="BJ3" s="33"/>
      <c r="BX3" s="4" t="s">
        <v>105</v>
      </c>
    </row>
    <row r="4" spans="1:74" ht="15.75">
      <c r="A4" t="s">
        <v>139</v>
      </c>
      <c r="B4" s="4">
        <v>25.6</v>
      </c>
      <c r="C4" s="4">
        <v>41</v>
      </c>
      <c r="D4" s="4">
        <v>42</v>
      </c>
      <c r="E4" s="4">
        <v>49</v>
      </c>
      <c r="F4" s="4"/>
      <c r="G4" s="4"/>
      <c r="H4" s="4"/>
      <c r="I4" s="4">
        <v>7</v>
      </c>
      <c r="L4" s="1"/>
      <c r="N4" s="32"/>
      <c r="O4" s="32"/>
      <c r="P4" s="32"/>
      <c r="Q4" s="32"/>
      <c r="R4" s="32"/>
      <c r="S4" s="32"/>
      <c r="T4" s="32"/>
      <c r="U4" s="32"/>
      <c r="V4" s="32"/>
      <c r="W4" s="32"/>
      <c r="X4" s="32"/>
      <c r="Z4" s="32"/>
      <c r="AA4" s="32"/>
      <c r="AB4" s="32"/>
      <c r="AC4" s="32"/>
      <c r="AD4" s="32"/>
      <c r="AE4" s="32"/>
      <c r="AF4" s="32"/>
      <c r="AG4" s="32"/>
      <c r="AH4" s="32"/>
      <c r="AI4" s="32"/>
      <c r="AJ4" s="32"/>
      <c r="AM4" s="30"/>
      <c r="AN4" s="30"/>
      <c r="AO4" s="30"/>
      <c r="AP4" s="30"/>
      <c r="AQ4" s="30"/>
      <c r="AR4" s="30"/>
      <c r="AS4" s="30"/>
      <c r="AT4" s="30"/>
      <c r="AU4" s="31"/>
      <c r="AV4" s="31"/>
      <c r="AW4" s="33"/>
      <c r="AX4" s="329"/>
      <c r="AY4" s="329"/>
      <c r="AZ4" s="329"/>
      <c r="BA4" s="329"/>
      <c r="BB4" s="329"/>
      <c r="BC4" s="329"/>
      <c r="BD4" s="329"/>
      <c r="BE4" s="329"/>
      <c r="BF4" s="329"/>
      <c r="BG4" s="329"/>
      <c r="BH4" s="329"/>
      <c r="BI4" s="329"/>
      <c r="BJ4" s="33"/>
      <c r="BL4" s="331" t="s">
        <v>100</v>
      </c>
      <c r="BM4" s="332"/>
      <c r="BN4" s="332"/>
      <c r="BO4" s="332"/>
      <c r="BP4" s="332"/>
      <c r="BQ4" s="332"/>
      <c r="BR4" s="332"/>
      <c r="BS4" s="333"/>
      <c r="BT4" s="106" t="s">
        <v>108</v>
      </c>
      <c r="BU4" s="107"/>
      <c r="BV4" s="108"/>
    </row>
    <row r="5" spans="2:73" ht="15.75">
      <c r="B5" s="4"/>
      <c r="C5" s="4"/>
      <c r="D5" s="4"/>
      <c r="E5" s="4"/>
      <c r="F5" s="4"/>
      <c r="G5" s="4"/>
      <c r="H5" s="4"/>
      <c r="I5" s="4"/>
      <c r="L5" s="1"/>
      <c r="N5" s="32"/>
      <c r="O5" s="32"/>
      <c r="P5" s="32"/>
      <c r="Q5" s="32"/>
      <c r="R5" s="32"/>
      <c r="S5" s="32"/>
      <c r="T5" s="32"/>
      <c r="U5" s="32"/>
      <c r="V5" s="32"/>
      <c r="W5" s="32"/>
      <c r="X5" s="32"/>
      <c r="Z5" s="32"/>
      <c r="AA5" s="32"/>
      <c r="AB5" s="32"/>
      <c r="AC5" s="32"/>
      <c r="AD5" s="32"/>
      <c r="AE5" s="32"/>
      <c r="AF5" s="32"/>
      <c r="AG5" s="32"/>
      <c r="AH5" s="32"/>
      <c r="AI5" s="32"/>
      <c r="AJ5" s="32"/>
      <c r="AM5" s="30"/>
      <c r="AN5" s="30"/>
      <c r="AO5" s="30"/>
      <c r="AP5" s="30"/>
      <c r="AQ5" s="30"/>
      <c r="AR5" s="30"/>
      <c r="AS5" s="30"/>
      <c r="AT5" s="30"/>
      <c r="AU5" s="31"/>
      <c r="AV5" s="31"/>
      <c r="AW5" s="33"/>
      <c r="AX5" s="330"/>
      <c r="AY5" s="330"/>
      <c r="AZ5" s="330"/>
      <c r="BA5" s="330"/>
      <c r="BB5" s="330"/>
      <c r="BC5" s="330"/>
      <c r="BD5" s="330"/>
      <c r="BE5" s="330"/>
      <c r="BF5" s="330"/>
      <c r="BG5" s="330"/>
      <c r="BH5" s="330"/>
      <c r="BI5" s="330"/>
      <c r="BJ5" s="33"/>
      <c r="BL5" s="334" t="s">
        <v>98</v>
      </c>
      <c r="BM5" s="335"/>
      <c r="BN5" s="335"/>
      <c r="BO5" s="335"/>
      <c r="BP5" s="335"/>
      <c r="BQ5" s="335"/>
      <c r="BR5" s="335"/>
      <c r="BS5" s="335"/>
      <c r="BT5" s="336"/>
      <c r="BU5" s="337"/>
    </row>
    <row r="6" spans="2:73" ht="12.75">
      <c r="B6" s="4"/>
      <c r="C6" s="4"/>
      <c r="D6" s="4"/>
      <c r="E6" s="4"/>
      <c r="F6" s="4"/>
      <c r="G6" s="4"/>
      <c r="H6" s="4"/>
      <c r="I6" s="4"/>
      <c r="J6" s="4"/>
      <c r="K6" s="4"/>
      <c r="L6" s="1"/>
      <c r="N6" s="32"/>
      <c r="O6" s="32"/>
      <c r="P6" s="32"/>
      <c r="Q6" s="32"/>
      <c r="R6" s="32"/>
      <c r="S6" s="32"/>
      <c r="T6" s="32"/>
      <c r="U6" s="32"/>
      <c r="V6" s="32"/>
      <c r="W6" s="32"/>
      <c r="X6" s="32"/>
      <c r="Z6" s="32"/>
      <c r="AA6" s="32"/>
      <c r="AB6" s="32"/>
      <c r="AC6" s="32"/>
      <c r="AD6" s="32"/>
      <c r="AE6" s="32"/>
      <c r="AF6" s="32"/>
      <c r="AG6" s="32"/>
      <c r="AH6" s="32"/>
      <c r="AI6" s="32"/>
      <c r="AJ6" s="32"/>
      <c r="AM6" s="30"/>
      <c r="AN6" s="30"/>
      <c r="AO6" s="30"/>
      <c r="AP6" s="30"/>
      <c r="AQ6" s="30"/>
      <c r="AR6" s="30"/>
      <c r="AS6" s="30"/>
      <c r="AT6" s="30"/>
      <c r="AU6" s="30"/>
      <c r="AV6" s="30"/>
      <c r="AW6" s="33"/>
      <c r="AX6" s="330"/>
      <c r="AY6" s="330"/>
      <c r="AZ6" s="330"/>
      <c r="BA6" s="330"/>
      <c r="BB6" s="330"/>
      <c r="BC6" s="330"/>
      <c r="BD6" s="330"/>
      <c r="BE6" s="330"/>
      <c r="BF6" s="330"/>
      <c r="BG6" s="330"/>
      <c r="BH6" s="330"/>
      <c r="BI6" s="330"/>
      <c r="BJ6" s="33"/>
      <c r="BL6" s="23">
        <v>3.8579499999999998</v>
      </c>
      <c r="BM6" s="23">
        <v>3.1269699999999996</v>
      </c>
      <c r="BN6" s="23">
        <v>3.1269699999999996</v>
      </c>
      <c r="BO6" s="23">
        <v>2.2741599999999997</v>
      </c>
      <c r="BP6" s="23"/>
      <c r="BQ6" s="23"/>
      <c r="BR6" s="23"/>
      <c r="BS6" s="23">
        <v>4.79198</v>
      </c>
      <c r="BT6" s="4">
        <f>(AY22*BL6+BA22*BN6+BB22*BO6+BF22*BS6)/(-BG22)</f>
        <v>0.16832134542734523</v>
      </c>
      <c r="BU6" s="4"/>
    </row>
    <row r="7" spans="2:73" ht="12.75">
      <c r="B7" s="4"/>
      <c r="C7" s="4"/>
      <c r="D7" s="4"/>
      <c r="E7" s="4"/>
      <c r="F7" s="4"/>
      <c r="G7" s="4"/>
      <c r="H7" s="4"/>
      <c r="I7" s="4"/>
      <c r="J7" s="4"/>
      <c r="K7" s="4"/>
      <c r="L7" s="1"/>
      <c r="N7" s="32"/>
      <c r="O7" s="32"/>
      <c r="P7" s="32"/>
      <c r="Q7" s="32"/>
      <c r="R7" s="32"/>
      <c r="S7" s="32"/>
      <c r="T7" s="32"/>
      <c r="U7" s="32"/>
      <c r="V7" s="32"/>
      <c r="W7" s="32"/>
      <c r="X7" s="32"/>
      <c r="Z7" s="32"/>
      <c r="AA7" s="32"/>
      <c r="AB7" s="32"/>
      <c r="AC7" s="32"/>
      <c r="AD7" s="32"/>
      <c r="AE7" s="32"/>
      <c r="AF7" s="32"/>
      <c r="AG7" s="32"/>
      <c r="AH7" s="32"/>
      <c r="AI7" s="32"/>
      <c r="AJ7" s="32"/>
      <c r="AM7" s="30"/>
      <c r="AN7" s="30"/>
      <c r="AO7" s="30"/>
      <c r="AP7" s="30"/>
      <c r="AQ7" s="30"/>
      <c r="AR7" s="30"/>
      <c r="AS7" s="30"/>
      <c r="AT7" s="30"/>
      <c r="AU7" s="30"/>
      <c r="AV7" s="30"/>
      <c r="AW7" s="33"/>
      <c r="AX7" s="330"/>
      <c r="AY7" s="330"/>
      <c r="AZ7" s="330"/>
      <c r="BA7" s="330"/>
      <c r="BB7" s="330"/>
      <c r="BC7" s="330"/>
      <c r="BD7" s="330"/>
      <c r="BE7" s="330"/>
      <c r="BF7" s="330"/>
      <c r="BG7" s="330"/>
      <c r="BH7" s="330"/>
      <c r="BI7" s="330"/>
      <c r="BJ7" s="33"/>
      <c r="BS7" s="23">
        <v>4.79198</v>
      </c>
      <c r="BT7" s="4" t="e">
        <f>(AY23*BL6+BA23*BN6+BB23*BO6+BF23*BS6)/(-BG23-BH23)</f>
        <v>#DIV/0!</v>
      </c>
      <c r="BU7" s="4" t="e">
        <f>(AY23*BL6+AZ23*BM6+BA23*BN6+BB23*BO6+BF23*BS6)/(-BH23-BG23)</f>
        <v>#DIV/0!</v>
      </c>
    </row>
    <row r="8" spans="1:73" ht="19.5" thickBot="1">
      <c r="A8" s="341"/>
      <c r="B8" s="341"/>
      <c r="C8" s="341"/>
      <c r="D8" s="341"/>
      <c r="E8" s="341"/>
      <c r="F8" s="341"/>
      <c r="G8" s="341"/>
      <c r="H8" s="341"/>
      <c r="I8" s="341"/>
      <c r="J8" s="341"/>
      <c r="K8" s="341"/>
      <c r="L8" s="342"/>
      <c r="N8" s="69"/>
      <c r="O8" s="69"/>
      <c r="P8" s="69"/>
      <c r="Q8" s="69"/>
      <c r="R8" s="69"/>
      <c r="S8" s="69"/>
      <c r="T8" s="69"/>
      <c r="U8" s="69"/>
      <c r="V8" s="69"/>
      <c r="W8" s="69"/>
      <c r="X8" s="69"/>
      <c r="Z8" s="69"/>
      <c r="AA8" s="69"/>
      <c r="AB8" s="69"/>
      <c r="AC8" s="69"/>
      <c r="AD8" s="69"/>
      <c r="AE8" s="69"/>
      <c r="AF8" s="69"/>
      <c r="AG8" s="69"/>
      <c r="AH8" s="69"/>
      <c r="AI8" s="69"/>
      <c r="AJ8" s="69"/>
      <c r="AL8" s="32"/>
      <c r="AM8" s="32"/>
      <c r="AN8" s="32"/>
      <c r="AO8" s="32"/>
      <c r="AP8" s="32"/>
      <c r="AQ8" s="32"/>
      <c r="AR8" s="32"/>
      <c r="AS8" s="32"/>
      <c r="AT8" s="32"/>
      <c r="AU8" s="32"/>
      <c r="AV8" s="32"/>
      <c r="AW8" s="33"/>
      <c r="AX8" s="352" t="s">
        <v>117</v>
      </c>
      <c r="AY8" s="352"/>
      <c r="AZ8" s="352"/>
      <c r="BA8" s="352"/>
      <c r="BB8" s="352"/>
      <c r="BC8" s="352"/>
      <c r="BD8" s="352"/>
      <c r="BE8" s="352"/>
      <c r="BF8" s="352"/>
      <c r="BG8" s="352"/>
      <c r="BH8" s="352"/>
      <c r="BI8" s="353"/>
      <c r="BJ8" s="33"/>
      <c r="BK8" s="154"/>
      <c r="BL8" s="155" t="s">
        <v>124</v>
      </c>
      <c r="BM8" s="156">
        <f>100*(BD19+BE19+BF19)/BI19</f>
        <v>28.463458351307025</v>
      </c>
      <c r="BN8" s="154" t="s">
        <v>125</v>
      </c>
      <c r="BO8" s="224" t="s">
        <v>126</v>
      </c>
      <c r="BQ8" s="156">
        <f>100*(BC19+BD19+BE19)/BI19</f>
        <v>0</v>
      </c>
      <c r="BR8" s="154" t="s">
        <v>125</v>
      </c>
      <c r="BS8" s="154"/>
      <c r="BT8" s="4"/>
      <c r="BU8" s="4" t="e">
        <f>(AY24*BL6+AZ24*BM6+BA24*BN6+BB24*BO6+BF24*BS6)/(-BH24)</f>
        <v>#DIV/0!</v>
      </c>
    </row>
    <row r="9" spans="2:78" ht="19.5" thickBot="1">
      <c r="B9" s="343" t="s">
        <v>455</v>
      </c>
      <c r="C9" s="344"/>
      <c r="D9" s="344"/>
      <c r="E9" s="344"/>
      <c r="F9" s="344"/>
      <c r="G9" s="344"/>
      <c r="H9" s="344"/>
      <c r="I9" s="344"/>
      <c r="J9" s="344"/>
      <c r="K9" s="344"/>
      <c r="L9" s="345"/>
      <c r="N9" s="343" t="s">
        <v>460</v>
      </c>
      <c r="O9" s="344"/>
      <c r="P9" s="344"/>
      <c r="Q9" s="344"/>
      <c r="R9" s="344"/>
      <c r="S9" s="344"/>
      <c r="T9" s="344"/>
      <c r="U9" s="344"/>
      <c r="V9" s="344"/>
      <c r="W9" s="344"/>
      <c r="X9" s="345"/>
      <c r="Z9" s="343" t="s">
        <v>461</v>
      </c>
      <c r="AA9" s="344"/>
      <c r="AB9" s="344"/>
      <c r="AC9" s="344"/>
      <c r="AD9" s="344"/>
      <c r="AE9" s="344"/>
      <c r="AF9" s="344"/>
      <c r="AG9" s="344"/>
      <c r="AH9" s="344"/>
      <c r="AI9" s="344"/>
      <c r="AJ9" s="345"/>
      <c r="AL9" s="346" t="s">
        <v>113</v>
      </c>
      <c r="AM9" s="347"/>
      <c r="AN9" s="347"/>
      <c r="AO9" s="347"/>
      <c r="AP9" s="347"/>
      <c r="AQ9" s="347"/>
      <c r="AR9" s="347"/>
      <c r="AS9" s="347"/>
      <c r="AT9" s="347"/>
      <c r="AU9" s="347"/>
      <c r="AV9" s="347"/>
      <c r="AW9" s="48"/>
      <c r="AX9" s="346" t="s">
        <v>77</v>
      </c>
      <c r="AY9" s="347"/>
      <c r="AZ9" s="347"/>
      <c r="BA9" s="347"/>
      <c r="BB9" s="347"/>
      <c r="BC9" s="347"/>
      <c r="BD9" s="347"/>
      <c r="BE9" s="347"/>
      <c r="BF9" s="347"/>
      <c r="BG9" s="347"/>
      <c r="BH9" s="347"/>
      <c r="BI9" s="348"/>
      <c r="BJ9" s="33"/>
      <c r="BK9" s="346" t="s">
        <v>85</v>
      </c>
      <c r="BL9" s="347"/>
      <c r="BM9" s="347"/>
      <c r="BN9" s="347"/>
      <c r="BO9" s="347"/>
      <c r="BP9" s="347"/>
      <c r="BQ9" s="347"/>
      <c r="BR9" s="347"/>
      <c r="BS9" s="347"/>
      <c r="BT9" s="347"/>
      <c r="BU9" s="347"/>
      <c r="BV9" s="347"/>
      <c r="BW9" s="347"/>
      <c r="BX9" s="347"/>
      <c r="BY9" s="347"/>
      <c r="BZ9" s="348"/>
    </row>
    <row r="10" spans="1:78" ht="12.75">
      <c r="A10" s="56" t="s">
        <v>0</v>
      </c>
      <c r="B10" s="57" t="s">
        <v>60</v>
      </c>
      <c r="C10" s="57" t="s">
        <v>61</v>
      </c>
      <c r="D10" s="58" t="s">
        <v>70</v>
      </c>
      <c r="E10" s="57" t="s">
        <v>62</v>
      </c>
      <c r="F10" s="57" t="s">
        <v>63</v>
      </c>
      <c r="G10" s="57" t="s">
        <v>64</v>
      </c>
      <c r="H10" s="58" t="s">
        <v>65</v>
      </c>
      <c r="I10" s="58" t="s">
        <v>66</v>
      </c>
      <c r="J10" s="58" t="s">
        <v>67</v>
      </c>
      <c r="K10" s="57" t="s">
        <v>68</v>
      </c>
      <c r="L10" s="59" t="s">
        <v>69</v>
      </c>
      <c r="N10" s="57" t="s">
        <v>60</v>
      </c>
      <c r="O10" s="57" t="s">
        <v>61</v>
      </c>
      <c r="P10" s="58" t="s">
        <v>70</v>
      </c>
      <c r="Q10" s="57" t="s">
        <v>62</v>
      </c>
      <c r="R10" s="57" t="s">
        <v>63</v>
      </c>
      <c r="S10" s="57" t="s">
        <v>64</v>
      </c>
      <c r="T10" s="58" t="s">
        <v>65</v>
      </c>
      <c r="U10" s="58" t="s">
        <v>66</v>
      </c>
      <c r="V10" s="58" t="s">
        <v>67</v>
      </c>
      <c r="W10" s="57" t="s">
        <v>68</v>
      </c>
      <c r="X10" s="59" t="s">
        <v>69</v>
      </c>
      <c r="Z10" s="57" t="s">
        <v>60</v>
      </c>
      <c r="AA10" s="57" t="s">
        <v>61</v>
      </c>
      <c r="AB10" s="58" t="s">
        <v>70</v>
      </c>
      <c r="AC10" s="57" t="s">
        <v>62</v>
      </c>
      <c r="AD10" s="57" t="s">
        <v>63</v>
      </c>
      <c r="AE10" s="57" t="s">
        <v>64</v>
      </c>
      <c r="AF10" s="58" t="s">
        <v>65</v>
      </c>
      <c r="AG10" s="58" t="s">
        <v>66</v>
      </c>
      <c r="AH10" s="58" t="s">
        <v>67</v>
      </c>
      <c r="AI10" s="57" t="s">
        <v>68</v>
      </c>
      <c r="AJ10" s="59" t="s">
        <v>69</v>
      </c>
      <c r="AL10" s="101" t="s">
        <v>91</v>
      </c>
      <c r="AM10" s="102" t="s">
        <v>60</v>
      </c>
      <c r="AN10" s="102" t="s">
        <v>61</v>
      </c>
      <c r="AO10" s="100" t="s">
        <v>70</v>
      </c>
      <c r="AP10" s="102" t="s">
        <v>62</v>
      </c>
      <c r="AQ10" s="102" t="s">
        <v>63</v>
      </c>
      <c r="AR10" s="102" t="s">
        <v>64</v>
      </c>
      <c r="AS10" s="100" t="s">
        <v>65</v>
      </c>
      <c r="AT10" s="100" t="s">
        <v>94</v>
      </c>
      <c r="AU10" s="100" t="s">
        <v>67</v>
      </c>
      <c r="AV10" s="102" t="s">
        <v>68</v>
      </c>
      <c r="AW10" s="34" t="s">
        <v>69</v>
      </c>
      <c r="AX10" s="101" t="s">
        <v>91</v>
      </c>
      <c r="AY10" s="125" t="s">
        <v>60</v>
      </c>
      <c r="AZ10" s="125" t="s">
        <v>61</v>
      </c>
      <c r="BA10" s="132" t="s">
        <v>70</v>
      </c>
      <c r="BB10" s="125" t="s">
        <v>62</v>
      </c>
      <c r="BC10" s="125" t="s">
        <v>63</v>
      </c>
      <c r="BD10" s="125" t="s">
        <v>64</v>
      </c>
      <c r="BE10" s="132" t="s">
        <v>65</v>
      </c>
      <c r="BF10" s="132" t="s">
        <v>94</v>
      </c>
      <c r="BG10" s="132" t="s">
        <v>67</v>
      </c>
      <c r="BH10" s="125" t="s">
        <v>68</v>
      </c>
      <c r="BI10" s="129" t="s">
        <v>69</v>
      </c>
      <c r="BJ10" s="33"/>
      <c r="BK10" s="25" t="s">
        <v>0</v>
      </c>
      <c r="BL10" s="18" t="s">
        <v>60</v>
      </c>
      <c r="BM10" s="18" t="s">
        <v>61</v>
      </c>
      <c r="BN10" s="20" t="s">
        <v>70</v>
      </c>
      <c r="BO10" s="18" t="s">
        <v>62</v>
      </c>
      <c r="BP10" s="184" t="s">
        <v>63</v>
      </c>
      <c r="BQ10" s="184" t="s">
        <v>64</v>
      </c>
      <c r="BR10" s="185" t="s">
        <v>65</v>
      </c>
      <c r="BS10" s="20" t="s">
        <v>94</v>
      </c>
      <c r="BT10" s="20" t="s">
        <v>67</v>
      </c>
      <c r="BU10" s="18" t="s">
        <v>68</v>
      </c>
      <c r="BV10" s="18" t="s">
        <v>69</v>
      </c>
      <c r="BW10" s="20" t="s">
        <v>69</v>
      </c>
      <c r="BX10" s="178"/>
      <c r="BY10" s="18" t="s">
        <v>69</v>
      </c>
      <c r="BZ10" s="179"/>
    </row>
    <row r="11" spans="1:78" ht="13.5" thickBot="1">
      <c r="A11" s="60" t="s">
        <v>1</v>
      </c>
      <c r="B11" s="61" t="s">
        <v>59</v>
      </c>
      <c r="C11" s="61" t="s">
        <v>71</v>
      </c>
      <c r="D11" s="62" t="s">
        <v>72</v>
      </c>
      <c r="E11" s="61"/>
      <c r="F11" s="61"/>
      <c r="G11" s="61"/>
      <c r="H11" s="62" t="s">
        <v>74</v>
      </c>
      <c r="I11" s="62" t="s">
        <v>73</v>
      </c>
      <c r="J11" s="62"/>
      <c r="K11" s="61"/>
      <c r="L11" s="63"/>
      <c r="N11" s="61" t="s">
        <v>59</v>
      </c>
      <c r="O11" s="61" t="s">
        <v>71</v>
      </c>
      <c r="P11" s="62" t="s">
        <v>72</v>
      </c>
      <c r="Q11" s="61"/>
      <c r="R11" s="61"/>
      <c r="S11" s="61"/>
      <c r="T11" s="62" t="s">
        <v>74</v>
      </c>
      <c r="U11" s="62" t="s">
        <v>73</v>
      </c>
      <c r="V11" s="62"/>
      <c r="W11" s="61"/>
      <c r="X11" s="63"/>
      <c r="Z11" s="61" t="s">
        <v>59</v>
      </c>
      <c r="AA11" s="61" t="s">
        <v>71</v>
      </c>
      <c r="AB11" s="62" t="s">
        <v>72</v>
      </c>
      <c r="AC11" s="61"/>
      <c r="AD11" s="61"/>
      <c r="AE11" s="61"/>
      <c r="AF11" s="62" t="s">
        <v>74</v>
      </c>
      <c r="AG11" s="62" t="s">
        <v>73</v>
      </c>
      <c r="AH11" s="62"/>
      <c r="AI11" s="61"/>
      <c r="AJ11" s="63"/>
      <c r="AL11" s="2" t="s">
        <v>92</v>
      </c>
      <c r="AM11" s="19" t="s">
        <v>59</v>
      </c>
      <c r="AN11" s="19" t="s">
        <v>71</v>
      </c>
      <c r="AO11" s="21" t="s">
        <v>72</v>
      </c>
      <c r="AP11" s="19"/>
      <c r="AQ11" s="19"/>
      <c r="AR11" s="19"/>
      <c r="AS11" s="21" t="s">
        <v>74</v>
      </c>
      <c r="AT11" s="103" t="s">
        <v>95</v>
      </c>
      <c r="AU11" s="21"/>
      <c r="AV11" s="19"/>
      <c r="AW11" s="35"/>
      <c r="AX11" s="2" t="s">
        <v>92</v>
      </c>
      <c r="AY11" s="126" t="s">
        <v>59</v>
      </c>
      <c r="AZ11" s="126" t="s">
        <v>71</v>
      </c>
      <c r="BA11" s="133" t="s">
        <v>72</v>
      </c>
      <c r="BB11" s="126"/>
      <c r="BC11" s="126"/>
      <c r="BD11" s="126"/>
      <c r="BE11" s="133" t="s">
        <v>74</v>
      </c>
      <c r="BF11" s="134" t="s">
        <v>95</v>
      </c>
      <c r="BG11" s="133"/>
      <c r="BH11" s="126"/>
      <c r="BI11" s="130"/>
      <c r="BJ11" s="33"/>
      <c r="BK11" s="26" t="s">
        <v>1</v>
      </c>
      <c r="BL11" s="19" t="s">
        <v>59</v>
      </c>
      <c r="BM11" s="19" t="s">
        <v>71</v>
      </c>
      <c r="BN11" s="21" t="s">
        <v>72</v>
      </c>
      <c r="BO11" s="19"/>
      <c r="BP11" s="186"/>
      <c r="BQ11" s="186"/>
      <c r="BR11" s="174" t="s">
        <v>74</v>
      </c>
      <c r="BS11" s="174" t="s">
        <v>95</v>
      </c>
      <c r="BT11" s="21"/>
      <c r="BU11" s="19"/>
      <c r="BV11" s="19"/>
      <c r="BW11" s="182"/>
      <c r="BX11" s="180"/>
      <c r="BY11" s="19" t="s">
        <v>81</v>
      </c>
      <c r="BZ11" s="181"/>
    </row>
    <row r="12" spans="1:62" ht="12.75">
      <c r="A12" s="64" t="s">
        <v>2</v>
      </c>
      <c r="B12" s="262"/>
      <c r="C12" s="262"/>
      <c r="D12" s="262"/>
      <c r="E12" s="262"/>
      <c r="F12" s="262"/>
      <c r="G12" s="262"/>
      <c r="H12" s="262"/>
      <c r="I12" s="262"/>
      <c r="J12" s="262"/>
      <c r="K12" s="262"/>
      <c r="L12" s="238"/>
      <c r="N12" s="262"/>
      <c r="O12" s="262"/>
      <c r="P12" s="262"/>
      <c r="Q12" s="262"/>
      <c r="R12" s="262"/>
      <c r="S12" s="262"/>
      <c r="T12" s="262"/>
      <c r="U12" s="262"/>
      <c r="V12" s="262"/>
      <c r="W12" s="262"/>
      <c r="X12" s="238"/>
      <c r="Z12" s="262"/>
      <c r="AA12" s="262"/>
      <c r="AB12" s="262"/>
      <c r="AC12" s="262"/>
      <c r="AD12" s="262"/>
      <c r="AE12" s="262"/>
      <c r="AF12" s="262"/>
      <c r="AG12" s="262"/>
      <c r="AH12" s="262"/>
      <c r="AI12" s="262"/>
      <c r="AJ12" s="238"/>
      <c r="AL12" s="3" t="s">
        <v>2</v>
      </c>
      <c r="AM12" s="30"/>
      <c r="AN12" s="30"/>
      <c r="AO12" s="30"/>
      <c r="AP12" s="30"/>
      <c r="AQ12" s="30"/>
      <c r="AR12" s="30"/>
      <c r="AS12" s="30"/>
      <c r="AT12" s="30"/>
      <c r="AU12" s="30"/>
      <c r="AV12" s="30"/>
      <c r="AW12" s="36"/>
      <c r="AX12" s="3" t="s">
        <v>2</v>
      </c>
      <c r="AY12" s="209"/>
      <c r="AZ12" s="209"/>
      <c r="BA12" s="209"/>
      <c r="BB12" s="209"/>
      <c r="BC12" s="209"/>
      <c r="BD12" s="209"/>
      <c r="BE12" s="209"/>
      <c r="BF12" s="209"/>
      <c r="BG12" s="209"/>
      <c r="BH12" s="209"/>
      <c r="BI12" s="215"/>
      <c r="BJ12" s="33"/>
    </row>
    <row r="13" spans="1:78" ht="18.75">
      <c r="A13" s="64" t="s">
        <v>5</v>
      </c>
      <c r="B13" s="262"/>
      <c r="C13" s="262"/>
      <c r="D13" s="262"/>
      <c r="E13" s="262"/>
      <c r="F13" s="262"/>
      <c r="G13" s="262"/>
      <c r="H13" s="262"/>
      <c r="I13" s="262"/>
      <c r="J13" s="262"/>
      <c r="K13" s="262"/>
      <c r="L13" s="238"/>
      <c r="N13" s="262"/>
      <c r="O13" s="262"/>
      <c r="P13" s="262"/>
      <c r="Q13" s="262"/>
      <c r="R13" s="262"/>
      <c r="S13" s="262"/>
      <c r="T13" s="262"/>
      <c r="U13" s="262"/>
      <c r="V13" s="262"/>
      <c r="W13" s="262"/>
      <c r="X13" s="238"/>
      <c r="Z13" s="262"/>
      <c r="AA13" s="262"/>
      <c r="AB13" s="262"/>
      <c r="AC13" s="262"/>
      <c r="AD13" s="262"/>
      <c r="AE13" s="262"/>
      <c r="AF13" s="262"/>
      <c r="AG13" s="262"/>
      <c r="AH13" s="262"/>
      <c r="AI13" s="262"/>
      <c r="AJ13" s="238"/>
      <c r="AL13" s="3" t="s">
        <v>5</v>
      </c>
      <c r="AM13" s="30"/>
      <c r="AN13" s="30"/>
      <c r="AO13" s="30"/>
      <c r="AP13" s="30"/>
      <c r="AQ13" s="30"/>
      <c r="AR13" s="30"/>
      <c r="AS13" s="30"/>
      <c r="AT13" s="30"/>
      <c r="AU13" s="30"/>
      <c r="AV13" s="30"/>
      <c r="AW13" s="36"/>
      <c r="AX13" s="3" t="s">
        <v>5</v>
      </c>
      <c r="AY13" s="209"/>
      <c r="AZ13" s="209"/>
      <c r="BA13" s="209"/>
      <c r="BB13" s="209"/>
      <c r="BC13" s="209"/>
      <c r="BD13" s="209"/>
      <c r="BE13" s="209"/>
      <c r="BF13" s="209"/>
      <c r="BG13" s="209"/>
      <c r="BH13" s="209"/>
      <c r="BI13" s="215"/>
      <c r="BJ13" s="33"/>
      <c r="BK13" s="104" t="s">
        <v>106</v>
      </c>
      <c r="BL13" s="105"/>
      <c r="BM13" s="105"/>
      <c r="BN13" s="105"/>
      <c r="BO13" s="105"/>
      <c r="BP13" s="105"/>
      <c r="BQ13" s="105"/>
      <c r="BR13" s="105"/>
      <c r="BS13" s="105"/>
      <c r="BT13" s="105"/>
      <c r="BU13" s="105"/>
      <c r="BV13" s="105"/>
      <c r="BW13" s="105"/>
      <c r="BX13" s="171"/>
      <c r="BY13" s="171"/>
      <c r="BZ13" s="171"/>
    </row>
    <row r="14" spans="1:77" ht="17.25" thickBot="1">
      <c r="A14" s="64" t="s">
        <v>6</v>
      </c>
      <c r="B14" s="262"/>
      <c r="C14" s="262"/>
      <c r="D14" s="262"/>
      <c r="E14" s="262"/>
      <c r="F14" s="262"/>
      <c r="G14" s="262"/>
      <c r="H14" s="262"/>
      <c r="I14" s="262"/>
      <c r="J14" s="262"/>
      <c r="K14" s="262"/>
      <c r="L14" s="238"/>
      <c r="N14" s="262"/>
      <c r="O14" s="262"/>
      <c r="P14" s="262"/>
      <c r="Q14" s="262"/>
      <c r="R14" s="262"/>
      <c r="S14" s="262"/>
      <c r="T14" s="262"/>
      <c r="U14" s="262"/>
      <c r="V14" s="262"/>
      <c r="W14" s="262"/>
      <c r="X14" s="238"/>
      <c r="Z14" s="262"/>
      <c r="AA14" s="262"/>
      <c r="AB14" s="262"/>
      <c r="AC14" s="262"/>
      <c r="AD14" s="262"/>
      <c r="AE14" s="262"/>
      <c r="AF14" s="262"/>
      <c r="AG14" s="262"/>
      <c r="AH14" s="262"/>
      <c r="AI14" s="262"/>
      <c r="AJ14" s="238"/>
      <c r="AL14" s="3" t="s">
        <v>6</v>
      </c>
      <c r="AM14" s="30"/>
      <c r="AN14" s="30"/>
      <c r="AO14" s="30"/>
      <c r="AP14" s="30"/>
      <c r="AQ14" s="30"/>
      <c r="AR14" s="30"/>
      <c r="AS14" s="30"/>
      <c r="AT14" s="30"/>
      <c r="AU14" s="30"/>
      <c r="AV14" s="30"/>
      <c r="AW14" s="36"/>
      <c r="AX14" s="3" t="s">
        <v>6</v>
      </c>
      <c r="AY14" s="209"/>
      <c r="AZ14" s="209"/>
      <c r="BA14" s="209"/>
      <c r="BB14" s="209"/>
      <c r="BC14" s="209"/>
      <c r="BD14" s="209"/>
      <c r="BE14" s="209"/>
      <c r="BF14" s="209"/>
      <c r="BG14" s="209"/>
      <c r="BH14" s="209"/>
      <c r="BI14" s="215"/>
      <c r="BJ14" s="33"/>
      <c r="BK14" s="29" t="s">
        <v>107</v>
      </c>
      <c r="BL14" s="136">
        <f>B18*BL6</f>
        <v>0</v>
      </c>
      <c r="BM14" s="136">
        <f>C18*BM6</f>
        <v>0</v>
      </c>
      <c r="BN14" s="136">
        <f>D18*BN6</f>
        <v>0</v>
      </c>
      <c r="BO14" s="136">
        <f>E18*BO6</f>
        <v>0</v>
      </c>
      <c r="BP14" s="136"/>
      <c r="BQ14" s="137"/>
      <c r="BR14" s="137"/>
      <c r="BS14" s="136">
        <f>I18*BS6</f>
        <v>0</v>
      </c>
      <c r="BT14" s="137"/>
      <c r="BU14" s="137"/>
      <c r="BW14" s="138">
        <f>SUM(BL14:BS14)</f>
        <v>0</v>
      </c>
      <c r="BY14" s="138">
        <f>SUM(BL14:BO14)</f>
        <v>0</v>
      </c>
    </row>
    <row r="15" spans="1:78" ht="16.5">
      <c r="A15" s="3" t="s">
        <v>3</v>
      </c>
      <c r="B15" s="262"/>
      <c r="C15" s="262"/>
      <c r="D15" s="263"/>
      <c r="E15" s="262"/>
      <c r="F15" s="262"/>
      <c r="G15" s="262"/>
      <c r="H15" s="262"/>
      <c r="I15" s="262"/>
      <c r="J15" s="262"/>
      <c r="K15" s="262"/>
      <c r="L15" s="238"/>
      <c r="N15" s="262"/>
      <c r="O15" s="262"/>
      <c r="P15" s="263"/>
      <c r="Q15" s="262"/>
      <c r="R15" s="262"/>
      <c r="S15" s="262"/>
      <c r="T15" s="262"/>
      <c r="U15" s="262"/>
      <c r="V15" s="262"/>
      <c r="W15" s="262"/>
      <c r="X15" s="238"/>
      <c r="Z15" s="262"/>
      <c r="AA15" s="262"/>
      <c r="AB15" s="263"/>
      <c r="AC15" s="262"/>
      <c r="AD15" s="262"/>
      <c r="AE15" s="262"/>
      <c r="AF15" s="262"/>
      <c r="AG15" s="262"/>
      <c r="AH15" s="262"/>
      <c r="AI15" s="262"/>
      <c r="AJ15" s="238"/>
      <c r="AL15" s="3" t="s">
        <v>3</v>
      </c>
      <c r="AM15" s="30"/>
      <c r="AN15" s="30"/>
      <c r="AO15" s="30"/>
      <c r="AP15" s="30"/>
      <c r="AQ15" s="30"/>
      <c r="AR15" s="30"/>
      <c r="AS15" s="30"/>
      <c r="AT15" s="30"/>
      <c r="AU15" s="30"/>
      <c r="AV15" s="30"/>
      <c r="AW15" s="36"/>
      <c r="AX15" s="3" t="s">
        <v>3</v>
      </c>
      <c r="AY15" s="209"/>
      <c r="AZ15" s="209"/>
      <c r="BA15" s="209"/>
      <c r="BB15" s="209"/>
      <c r="BC15" s="209"/>
      <c r="BD15" s="209"/>
      <c r="BE15" s="209"/>
      <c r="BF15" s="209"/>
      <c r="BG15" s="209"/>
      <c r="BH15" s="209"/>
      <c r="BI15" s="215"/>
      <c r="BJ15" s="33"/>
      <c r="BK15" s="28" t="s">
        <v>114</v>
      </c>
      <c r="BL15" s="139"/>
      <c r="BM15" s="139"/>
      <c r="BN15" s="139"/>
      <c r="BO15" s="139"/>
      <c r="BP15" s="139"/>
      <c r="BQ15" s="140"/>
      <c r="BR15" s="140"/>
      <c r="BS15" s="140"/>
      <c r="BT15" s="140"/>
      <c r="BU15" s="140"/>
      <c r="BV15" s="140"/>
      <c r="BW15" s="172"/>
      <c r="BX15" s="172"/>
      <c r="BY15" s="141">
        <f>0.8*BY14</f>
        <v>0</v>
      </c>
      <c r="BZ15" s="172"/>
    </row>
    <row r="16" spans="1:78" ht="16.5">
      <c r="A16" s="3" t="s">
        <v>128</v>
      </c>
      <c r="B16" s="262"/>
      <c r="C16" s="262"/>
      <c r="D16" s="263"/>
      <c r="E16" s="262"/>
      <c r="F16" s="262"/>
      <c r="G16" s="262"/>
      <c r="H16" s="262"/>
      <c r="I16" s="262"/>
      <c r="J16" s="262"/>
      <c r="K16" s="262"/>
      <c r="L16" s="238"/>
      <c r="N16" s="262"/>
      <c r="O16" s="262"/>
      <c r="P16" s="263"/>
      <c r="Q16" s="262"/>
      <c r="R16" s="262"/>
      <c r="S16" s="262"/>
      <c r="T16" s="262"/>
      <c r="U16" s="262"/>
      <c r="V16" s="262"/>
      <c r="W16" s="262"/>
      <c r="X16" s="238"/>
      <c r="Z16" s="262"/>
      <c r="AA16" s="262"/>
      <c r="AB16" s="263"/>
      <c r="AC16" s="262"/>
      <c r="AD16" s="262"/>
      <c r="AE16" s="262"/>
      <c r="AF16" s="262"/>
      <c r="AG16" s="262"/>
      <c r="AH16" s="262"/>
      <c r="AI16" s="262"/>
      <c r="AJ16" s="238"/>
      <c r="AL16" s="3" t="s">
        <v>4</v>
      </c>
      <c r="AM16" s="30"/>
      <c r="AN16" s="30"/>
      <c r="AO16" s="30"/>
      <c r="AP16" s="30"/>
      <c r="AQ16" s="30"/>
      <c r="AR16" s="30"/>
      <c r="AS16" s="30"/>
      <c r="AT16" s="30"/>
      <c r="AU16" s="30"/>
      <c r="AV16" s="30"/>
      <c r="AW16" s="36"/>
      <c r="AX16" s="3" t="s">
        <v>4</v>
      </c>
      <c r="AY16" s="209"/>
      <c r="AZ16" s="209"/>
      <c r="BA16" s="209"/>
      <c r="BB16" s="209"/>
      <c r="BC16" s="209"/>
      <c r="BD16" s="209"/>
      <c r="BE16" s="209"/>
      <c r="BF16" s="209"/>
      <c r="BG16" s="209"/>
      <c r="BH16" s="209"/>
      <c r="BI16" s="215"/>
      <c r="BJ16" s="33"/>
      <c r="BK16" s="175" t="s">
        <v>84</v>
      </c>
      <c r="BL16" s="176">
        <f>AY18*BL$6</f>
        <v>0</v>
      </c>
      <c r="BM16" s="176">
        <f>AZ18*BM$6</f>
        <v>0</v>
      </c>
      <c r="BN16" s="176">
        <f>BA18*BN$6</f>
        <v>0</v>
      </c>
      <c r="BO16" s="176">
        <f>BB18*BO$6</f>
        <v>0</v>
      </c>
      <c r="BP16" s="176"/>
      <c r="BQ16" s="176"/>
      <c r="BR16" s="176"/>
      <c r="BS16" s="176">
        <f>BF18*BS$6</f>
        <v>0</v>
      </c>
      <c r="BT16" s="176"/>
      <c r="BU16" s="176"/>
      <c r="BW16" s="177">
        <f>SUM(BL16:BS16)</f>
        <v>0</v>
      </c>
      <c r="BX16" s="124"/>
      <c r="BY16" s="177">
        <f>SUM(BL16:BO16)</f>
        <v>0</v>
      </c>
      <c r="BZ16" s="124"/>
    </row>
    <row r="17" spans="1:78" ht="15.75" thickBot="1">
      <c r="A17" s="64" t="s">
        <v>7</v>
      </c>
      <c r="B17" s="262"/>
      <c r="C17" s="262"/>
      <c r="D17" s="262"/>
      <c r="E17" s="262"/>
      <c r="F17" s="262"/>
      <c r="G17" s="262"/>
      <c r="H17" s="262"/>
      <c r="I17" s="262"/>
      <c r="J17" s="262"/>
      <c r="K17" s="262"/>
      <c r="L17" s="238"/>
      <c r="N17" s="262"/>
      <c r="O17" s="262"/>
      <c r="P17" s="262"/>
      <c r="Q17" s="262"/>
      <c r="R17" s="262"/>
      <c r="S17" s="262"/>
      <c r="T17" s="262"/>
      <c r="U17" s="262"/>
      <c r="V17" s="262"/>
      <c r="W17" s="262"/>
      <c r="X17" s="238"/>
      <c r="Z17" s="262"/>
      <c r="AA17" s="262"/>
      <c r="AB17" s="262"/>
      <c r="AC17" s="262"/>
      <c r="AD17" s="262"/>
      <c r="AE17" s="262"/>
      <c r="AF17" s="262"/>
      <c r="AG17" s="262"/>
      <c r="AH17" s="262"/>
      <c r="AI17" s="262"/>
      <c r="AJ17" s="238"/>
      <c r="AL17" s="3" t="s">
        <v>7</v>
      </c>
      <c r="AM17" s="30"/>
      <c r="AN17" s="30"/>
      <c r="AO17" s="30"/>
      <c r="AP17" s="30"/>
      <c r="AQ17" s="30"/>
      <c r="AR17" s="30"/>
      <c r="AS17" s="30"/>
      <c r="AT17" s="30"/>
      <c r="AU17" s="30"/>
      <c r="AV17" s="30"/>
      <c r="AW17" s="36"/>
      <c r="AX17" s="3" t="s">
        <v>7</v>
      </c>
      <c r="AY17" s="209"/>
      <c r="AZ17" s="209"/>
      <c r="BA17" s="209"/>
      <c r="BB17" s="209"/>
      <c r="BC17" s="209"/>
      <c r="BD17" s="209"/>
      <c r="BE17" s="209"/>
      <c r="BF17" s="209"/>
      <c r="BG17" s="209"/>
      <c r="BH17" s="209"/>
      <c r="BI17" s="215"/>
      <c r="BJ17" s="33"/>
      <c r="BK17" s="27" t="s">
        <v>82</v>
      </c>
      <c r="BL17" s="142"/>
      <c r="BM17" s="142"/>
      <c r="BN17" s="142"/>
      <c r="BO17" s="142"/>
      <c r="BP17" s="142"/>
      <c r="BQ17" s="142"/>
      <c r="BR17" s="142"/>
      <c r="BS17" s="142"/>
      <c r="BT17" s="142"/>
      <c r="BU17" s="142"/>
      <c r="BV17" s="142"/>
      <c r="BW17" s="143">
        <f>BY16-BY15</f>
        <v>0</v>
      </c>
      <c r="BX17" s="173"/>
      <c r="BY17" s="173"/>
      <c r="BZ17" s="173"/>
    </row>
    <row r="18" spans="1:80" ht="15.75" thickBot="1">
      <c r="A18" s="66" t="s">
        <v>8</v>
      </c>
      <c r="B18" s="264"/>
      <c r="C18" s="264"/>
      <c r="D18" s="265"/>
      <c r="E18" s="264"/>
      <c r="F18" s="264"/>
      <c r="G18" s="264"/>
      <c r="H18" s="264"/>
      <c r="I18" s="264"/>
      <c r="J18" s="264"/>
      <c r="K18" s="264"/>
      <c r="L18" s="266"/>
      <c r="M18" s="38"/>
      <c r="N18" s="264"/>
      <c r="O18" s="264"/>
      <c r="P18" s="265"/>
      <c r="Q18" s="264"/>
      <c r="R18" s="264"/>
      <c r="S18" s="264"/>
      <c r="T18" s="264"/>
      <c r="U18" s="264"/>
      <c r="V18" s="264"/>
      <c r="W18" s="264"/>
      <c r="X18" s="266"/>
      <c r="Y18" s="38"/>
      <c r="Z18" s="264"/>
      <c r="AA18" s="264"/>
      <c r="AB18" s="265"/>
      <c r="AC18" s="264"/>
      <c r="AD18" s="264"/>
      <c r="AE18" s="264"/>
      <c r="AF18" s="264"/>
      <c r="AG18" s="264"/>
      <c r="AH18" s="264"/>
      <c r="AI18" s="264"/>
      <c r="AJ18" s="266"/>
      <c r="AK18" s="38"/>
      <c r="AL18" s="12" t="s">
        <v>75</v>
      </c>
      <c r="AM18" s="13"/>
      <c r="AN18" s="13"/>
      <c r="AO18" s="13"/>
      <c r="AP18" s="13"/>
      <c r="AQ18" s="13"/>
      <c r="AR18" s="13"/>
      <c r="AS18" s="13"/>
      <c r="AT18" s="13"/>
      <c r="AU18" s="13"/>
      <c r="AV18" s="13"/>
      <c r="AW18" s="37"/>
      <c r="AX18" s="12" t="s">
        <v>75</v>
      </c>
      <c r="AY18" s="128">
        <f>SUM(AY12:AY17)</f>
        <v>0</v>
      </c>
      <c r="AZ18" s="128">
        <f aca="true" t="shared" si="0" ref="AZ18:BI18">SUM(AZ12:AZ17)</f>
        <v>0</v>
      </c>
      <c r="BA18" s="128">
        <f t="shared" si="0"/>
        <v>0</v>
      </c>
      <c r="BB18" s="128">
        <f t="shared" si="0"/>
        <v>0</v>
      </c>
      <c r="BC18" s="128">
        <f t="shared" si="0"/>
        <v>0</v>
      </c>
      <c r="BD18" s="128">
        <f t="shared" si="0"/>
        <v>0</v>
      </c>
      <c r="BE18" s="128">
        <f t="shared" si="0"/>
        <v>0</v>
      </c>
      <c r="BF18" s="128">
        <f t="shared" si="0"/>
        <v>0</v>
      </c>
      <c r="BG18" s="128">
        <f t="shared" si="0"/>
        <v>0</v>
      </c>
      <c r="BH18" s="128">
        <f t="shared" si="0"/>
        <v>0</v>
      </c>
      <c r="BI18" s="131">
        <f t="shared" si="0"/>
        <v>0</v>
      </c>
      <c r="BJ18" s="38"/>
      <c r="BK18" s="14"/>
      <c r="BL18" s="144"/>
      <c r="BM18" s="144"/>
      <c r="BN18" s="144"/>
      <c r="BO18" s="144"/>
      <c r="BP18" s="144"/>
      <c r="BQ18" s="144"/>
      <c r="BR18" s="144"/>
      <c r="BS18" s="144"/>
      <c r="BT18" s="144"/>
      <c r="BU18" s="144"/>
      <c r="BV18" s="144"/>
      <c r="BW18" s="144"/>
      <c r="BX18" s="14"/>
      <c r="BY18" s="14"/>
      <c r="BZ18" s="14"/>
      <c r="CA18" s="14"/>
      <c r="CB18" s="14"/>
    </row>
    <row r="19" spans="1:80" ht="15.75" thickBot="1">
      <c r="A19" s="117" t="s">
        <v>136</v>
      </c>
      <c r="B19" s="118"/>
      <c r="C19" s="118"/>
      <c r="D19" s="118"/>
      <c r="E19" s="118"/>
      <c r="F19" s="118"/>
      <c r="G19" s="118"/>
      <c r="H19" s="118"/>
      <c r="I19" s="118"/>
      <c r="J19" s="118"/>
      <c r="K19" s="118"/>
      <c r="L19" s="118"/>
      <c r="M19" s="38"/>
      <c r="N19" s="118"/>
      <c r="O19" s="118"/>
      <c r="P19" s="118"/>
      <c r="Q19" s="118"/>
      <c r="R19" s="118"/>
      <c r="S19" s="118"/>
      <c r="T19" s="118"/>
      <c r="U19" s="118"/>
      <c r="V19" s="118"/>
      <c r="W19" s="118"/>
      <c r="X19" s="118"/>
      <c r="Y19" s="38"/>
      <c r="Z19" s="118"/>
      <c r="AA19" s="118"/>
      <c r="AB19" s="118"/>
      <c r="AC19" s="118"/>
      <c r="AD19" s="118"/>
      <c r="AE19" s="118"/>
      <c r="AF19" s="118"/>
      <c r="AG19" s="118"/>
      <c r="AH19" s="118"/>
      <c r="AI19" s="118"/>
      <c r="AJ19" s="118"/>
      <c r="AK19" s="38"/>
      <c r="AL19" s="12" t="s">
        <v>90</v>
      </c>
      <c r="AM19" s="51"/>
      <c r="AN19" s="51"/>
      <c r="AO19" s="51"/>
      <c r="AP19" s="51"/>
      <c r="AQ19" s="51"/>
      <c r="AR19" s="51"/>
      <c r="AS19" s="51"/>
      <c r="AT19" s="51"/>
      <c r="AU19" s="51"/>
      <c r="AV19" s="52"/>
      <c r="AW19" s="38"/>
      <c r="AX19" s="12" t="s">
        <v>90</v>
      </c>
      <c r="AY19" s="128">
        <f>AY33-SUM(AY20:AY31)</f>
        <v>2550.5699609375</v>
      </c>
      <c r="AZ19" s="128">
        <f aca="true" t="shared" si="1" ref="AZ19:BI19">AZ33-SUM(AZ20:AZ31)</f>
        <v>-2.7559999999999856</v>
      </c>
      <c r="BA19" s="128">
        <f t="shared" si="1"/>
        <v>390.6030952380952</v>
      </c>
      <c r="BB19" s="128">
        <f t="shared" si="1"/>
        <v>0</v>
      </c>
      <c r="BC19" s="128">
        <f t="shared" si="1"/>
        <v>0</v>
      </c>
      <c r="BD19" s="128">
        <f t="shared" si="1"/>
        <v>0</v>
      </c>
      <c r="BE19" s="128">
        <f t="shared" si="1"/>
        <v>0</v>
      </c>
      <c r="BF19" s="128">
        <f t="shared" si="1"/>
        <v>3378.868571428572</v>
      </c>
      <c r="BG19" s="128">
        <f t="shared" si="1"/>
        <v>5553.614</v>
      </c>
      <c r="BH19" s="128">
        <f t="shared" si="1"/>
        <v>0</v>
      </c>
      <c r="BI19" s="216">
        <f t="shared" si="1"/>
        <v>11870.899627604165</v>
      </c>
      <c r="BJ19" s="38"/>
      <c r="BK19" s="12" t="s">
        <v>90</v>
      </c>
      <c r="BL19" s="145">
        <f aca="true" t="shared" si="2" ref="BL19:BV19">BL33-SUM(BL20:BL31)</f>
        <v>9839.971380798826</v>
      </c>
      <c r="BM19" s="145">
        <f t="shared" si="2"/>
        <v>-8.617929319999952</v>
      </c>
      <c r="BN19" s="145">
        <f t="shared" si="2"/>
        <v>1221.4041607166664</v>
      </c>
      <c r="BO19" s="145">
        <f t="shared" si="2"/>
        <v>0</v>
      </c>
      <c r="BP19" s="145">
        <f t="shared" si="2"/>
        <v>0</v>
      </c>
      <c r="BQ19" s="145">
        <f t="shared" si="2"/>
        <v>0</v>
      </c>
      <c r="BR19" s="145">
        <f t="shared" si="2"/>
        <v>0</v>
      </c>
      <c r="BS19" s="145">
        <f t="shared" si="2"/>
        <v>16191.470616914283</v>
      </c>
      <c r="BT19" s="146"/>
      <c r="BU19" s="146"/>
      <c r="BV19" s="147" t="e">
        <f t="shared" si="2"/>
        <v>#DIV/0!</v>
      </c>
      <c r="BW19" s="148" t="s">
        <v>112</v>
      </c>
      <c r="BX19" s="24"/>
      <c r="BY19" s="170" t="s">
        <v>127</v>
      </c>
      <c r="BZ19" s="24"/>
      <c r="CA19" s="24"/>
      <c r="CB19" s="24"/>
    </row>
    <row r="20" spans="1:78" ht="12.75">
      <c r="A20" s="64" t="s">
        <v>9</v>
      </c>
      <c r="B20" s="65"/>
      <c r="C20" s="65"/>
      <c r="D20" s="69"/>
      <c r="E20" s="65"/>
      <c r="F20" s="65"/>
      <c r="G20" s="65"/>
      <c r="H20" s="65"/>
      <c r="I20" s="65"/>
      <c r="J20" s="65"/>
      <c r="K20" s="65"/>
      <c r="L20" s="71"/>
      <c r="N20" s="252"/>
      <c r="O20" s="252"/>
      <c r="P20" s="252"/>
      <c r="Q20" s="252"/>
      <c r="R20" s="252"/>
      <c r="S20" s="252"/>
      <c r="T20" s="252"/>
      <c r="U20" s="252"/>
      <c r="V20" s="65"/>
      <c r="W20" s="65"/>
      <c r="X20" s="71"/>
      <c r="Z20" s="65"/>
      <c r="AA20" s="65"/>
      <c r="AB20" s="69"/>
      <c r="AC20" s="65"/>
      <c r="AD20" s="65"/>
      <c r="AE20" s="65"/>
      <c r="AF20" s="65"/>
      <c r="AG20" s="65"/>
      <c r="AH20" s="65"/>
      <c r="AI20" s="65"/>
      <c r="AJ20" s="71"/>
      <c r="AL20" s="3" t="s">
        <v>9</v>
      </c>
      <c r="AM20" s="30">
        <f>Mtoe!O20</f>
        <v>1</v>
      </c>
      <c r="AN20" s="30">
        <f>Mtoe!P20</f>
        <v>1</v>
      </c>
      <c r="AO20" s="30">
        <f>Mtoe!Q20</f>
        <v>1</v>
      </c>
      <c r="AP20" s="30">
        <f>Mtoe!R20</f>
        <v>1</v>
      </c>
      <c r="AQ20" s="30">
        <f>Mtoe!S20</f>
        <v>1</v>
      </c>
      <c r="AR20" s="30">
        <f>Mtoe!T20</f>
        <v>1</v>
      </c>
      <c r="AS20" s="30">
        <f>Mtoe!U20</f>
        <v>1</v>
      </c>
      <c r="AT20" s="30">
        <f>Mtoe!V20</f>
        <v>1</v>
      </c>
      <c r="AU20" s="30">
        <f>Mtoe!W20</f>
        <v>1</v>
      </c>
      <c r="AV20" s="30">
        <f>Mtoe!X20</f>
        <v>1</v>
      </c>
      <c r="AW20" s="33"/>
      <c r="AX20" s="3" t="s">
        <v>9</v>
      </c>
      <c r="AY20" s="209"/>
      <c r="AZ20" s="209"/>
      <c r="BA20" s="209"/>
      <c r="BB20" s="209"/>
      <c r="BC20" s="209"/>
      <c r="BD20" s="209"/>
      <c r="BE20" s="209"/>
      <c r="BF20" s="209"/>
      <c r="BG20" s="209"/>
      <c r="BH20" s="209"/>
      <c r="BI20" s="215"/>
      <c r="BJ20" s="33"/>
      <c r="BK20" s="115" t="s">
        <v>9</v>
      </c>
      <c r="BL20" s="157">
        <f aca="true" t="shared" si="3" ref="BL20:BM31">AY20*BL$6</f>
        <v>0</v>
      </c>
      <c r="BM20" s="157">
        <f>AZ20*BM$6</f>
        <v>0</v>
      </c>
      <c r="BN20" s="157">
        <f aca="true" t="shared" si="4" ref="BN20:BS31">BA20*BN$6</f>
        <v>0</v>
      </c>
      <c r="BO20" s="157">
        <f t="shared" si="4"/>
        <v>0</v>
      </c>
      <c r="BP20" s="157">
        <f t="shared" si="4"/>
        <v>0</v>
      </c>
      <c r="BQ20" s="157">
        <f t="shared" si="4"/>
        <v>0</v>
      </c>
      <c r="BR20" s="157">
        <f t="shared" si="4"/>
        <v>0</v>
      </c>
      <c r="BS20" s="157">
        <f t="shared" si="4"/>
        <v>0</v>
      </c>
      <c r="BT20" s="157"/>
      <c r="BU20" s="157"/>
      <c r="BV20" s="158">
        <f>SUM(BL20:BU20)</f>
        <v>0</v>
      </c>
      <c r="BW20" s="4" t="e">
        <f>-100*BV20/BV$19</f>
        <v>#DIV/0!</v>
      </c>
      <c r="BX20" s="4" t="s">
        <v>110</v>
      </c>
      <c r="BY20" s="4">
        <v>-0.15452204743726436</v>
      </c>
      <c r="BZ20" t="s">
        <v>110</v>
      </c>
    </row>
    <row r="21" spans="1:78" ht="12.75">
      <c r="A21" s="64" t="s">
        <v>13</v>
      </c>
      <c r="B21" s="65"/>
      <c r="C21" s="65"/>
      <c r="D21" s="65"/>
      <c r="E21" s="65"/>
      <c r="F21" s="65"/>
      <c r="G21" s="65"/>
      <c r="H21" s="65"/>
      <c r="I21" s="65"/>
      <c r="J21" s="65"/>
      <c r="K21" s="65"/>
      <c r="L21" s="71"/>
      <c r="N21" s="252"/>
      <c r="O21" s="252"/>
      <c r="P21" s="252"/>
      <c r="Q21" s="252"/>
      <c r="R21" s="252"/>
      <c r="S21" s="252"/>
      <c r="T21" s="252"/>
      <c r="U21" s="252"/>
      <c r="V21" s="65"/>
      <c r="W21" s="65"/>
      <c r="X21" s="71"/>
      <c r="Z21" s="65"/>
      <c r="AA21" s="65"/>
      <c r="AB21" s="65"/>
      <c r="AC21" s="65"/>
      <c r="AD21" s="65"/>
      <c r="AE21" s="65"/>
      <c r="AF21" s="65"/>
      <c r="AG21" s="65"/>
      <c r="AH21" s="65"/>
      <c r="AI21" s="65"/>
      <c r="AJ21" s="71"/>
      <c r="AL21" s="3" t="s">
        <v>13</v>
      </c>
      <c r="AM21" s="30">
        <f>Mtoe!O21</f>
        <v>1</v>
      </c>
      <c r="AN21" s="30">
        <f>Mtoe!P21</f>
        <v>1</v>
      </c>
      <c r="AO21" s="30">
        <f>Mtoe!Q21</f>
        <v>1</v>
      </c>
      <c r="AP21" s="30">
        <f>Mtoe!R21</f>
        <v>1</v>
      </c>
      <c r="AQ21" s="30">
        <f>Mtoe!S21</f>
        <v>1</v>
      </c>
      <c r="AR21" s="30">
        <f>Mtoe!T21</f>
        <v>1</v>
      </c>
      <c r="AS21" s="30">
        <f>Mtoe!U21</f>
        <v>1</v>
      </c>
      <c r="AT21" s="30">
        <f>Mtoe!V21</f>
        <v>1</v>
      </c>
      <c r="AU21" s="30">
        <f>Mtoe!W21</f>
        <v>1</v>
      </c>
      <c r="AV21" s="30">
        <f>Mtoe!X21</f>
        <v>1</v>
      </c>
      <c r="AW21" s="39"/>
      <c r="AX21" s="3" t="s">
        <v>13</v>
      </c>
      <c r="AY21" s="209"/>
      <c r="AZ21" s="209"/>
      <c r="BA21" s="209"/>
      <c r="BB21" s="209"/>
      <c r="BC21" s="209"/>
      <c r="BD21" s="209"/>
      <c r="BE21" s="209"/>
      <c r="BF21" s="209"/>
      <c r="BG21" s="209"/>
      <c r="BH21" s="209"/>
      <c r="BI21" s="215"/>
      <c r="BJ21" s="33"/>
      <c r="BK21" s="110" t="s">
        <v>13</v>
      </c>
      <c r="BL21" s="157">
        <f t="shared" si="3"/>
        <v>0</v>
      </c>
      <c r="BM21" s="157">
        <f t="shared" si="3"/>
        <v>0</v>
      </c>
      <c r="BN21" s="157">
        <f t="shared" si="4"/>
        <v>0</v>
      </c>
      <c r="BO21" s="157">
        <f t="shared" si="4"/>
        <v>0</v>
      </c>
      <c r="BP21" s="157">
        <f t="shared" si="4"/>
        <v>0</v>
      </c>
      <c r="BQ21" s="157">
        <f t="shared" si="4"/>
        <v>0</v>
      </c>
      <c r="BR21" s="157">
        <f t="shared" si="4"/>
        <v>0</v>
      </c>
      <c r="BS21" s="157">
        <f t="shared" si="4"/>
        <v>0</v>
      </c>
      <c r="BT21" s="157"/>
      <c r="BU21" s="157"/>
      <c r="BV21" s="158">
        <f>SUM(BL21:BU21)</f>
        <v>0</v>
      </c>
      <c r="BW21" s="4" t="e">
        <f aca="true" t="shared" si="5" ref="BW21:BW31">-100*BV21/BV$19</f>
        <v>#DIV/0!</v>
      </c>
      <c r="BX21" s="4" t="s">
        <v>110</v>
      </c>
      <c r="BY21" s="4">
        <v>-0.04165828494648961</v>
      </c>
      <c r="BZ21" t="s">
        <v>110</v>
      </c>
    </row>
    <row r="22" spans="1:79" ht="14.25">
      <c r="A22" s="64" t="s">
        <v>10</v>
      </c>
      <c r="B22" s="65">
        <f>-($C$4/B$4)*Mtoe!B22*(B73*(100-B123)/10)</f>
        <v>198.44480468749995</v>
      </c>
      <c r="C22" s="65"/>
      <c r="D22" s="65">
        <f>-($C$4/D$4)*Mtoe!D22*(D73*(100-D123)/10)</f>
        <v>6.044571428571429</v>
      </c>
      <c r="E22" s="65"/>
      <c r="F22" s="65"/>
      <c r="G22" s="65"/>
      <c r="H22" s="65"/>
      <c r="I22" s="65">
        <f>-($C$4/I$4)*Mtoe!I22*(I73*(100-I123)/10)</f>
        <v>31.365</v>
      </c>
      <c r="J22" s="252"/>
      <c r="K22" s="120"/>
      <c r="L22" s="71"/>
      <c r="N22" s="65">
        <f>-($C$4/B$4)*Mtoe!B22*((130/32)*(N73*(100-N123)/10))</f>
        <v>1266.8574584960936</v>
      </c>
      <c r="O22" s="65"/>
      <c r="P22" s="65">
        <f>-($C$4/D$4)*Mtoe!D22*((130/32)*(P73*(100-P123)/10))</f>
        <v>1534.7544642857144</v>
      </c>
      <c r="Q22" s="65"/>
      <c r="R22" s="65"/>
      <c r="S22" s="65"/>
      <c r="T22" s="65"/>
      <c r="U22" s="65">
        <f>-($C$4/I$4)*Mtoe!I22*((130/32)*(U73*(100-U123)/10))</f>
        <v>424.734375</v>
      </c>
      <c r="V22" s="65"/>
      <c r="W22" s="120"/>
      <c r="X22" s="71"/>
      <c r="Z22" s="65">
        <f>-Mtoe!B22*(Z73*(100-Z123)/100000)</f>
        <v>2.3011299999999997</v>
      </c>
      <c r="AA22" s="65"/>
      <c r="AB22" s="65">
        <f>-Mtoe!D22*(AB73*(100-AB123)/100000)</f>
        <v>2.322</v>
      </c>
      <c r="AC22" s="252"/>
      <c r="AD22" s="65"/>
      <c r="AE22" s="65"/>
      <c r="AF22" s="65"/>
      <c r="AG22" s="65"/>
      <c r="AH22" s="65"/>
      <c r="AI22" s="120"/>
      <c r="AJ22" s="71"/>
      <c r="AL22" s="3" t="s">
        <v>10</v>
      </c>
      <c r="AM22" s="30">
        <f>Mtoe!O22</f>
        <v>1</v>
      </c>
      <c r="AN22" s="30">
        <f>Mtoe!P22</f>
        <v>1</v>
      </c>
      <c r="AO22" s="30">
        <f>Mtoe!Q22</f>
        <v>1</v>
      </c>
      <c r="AP22" s="30">
        <f>Mtoe!R22</f>
        <v>1</v>
      </c>
      <c r="AQ22" s="30">
        <f>Mtoe!S22</f>
        <v>1</v>
      </c>
      <c r="AR22" s="30">
        <f>Mtoe!T22</f>
        <v>1</v>
      </c>
      <c r="AS22" s="30">
        <f>Mtoe!U22</f>
        <v>1</v>
      </c>
      <c r="AT22" s="30">
        <f>Mtoe!V22</f>
        <v>1</v>
      </c>
      <c r="AU22" s="30">
        <f>Mtoe!W22</f>
        <v>0</v>
      </c>
      <c r="AV22" s="30">
        <f>Mtoe!X22</f>
        <v>1</v>
      </c>
      <c r="AW22" s="39"/>
      <c r="AX22" s="3" t="s">
        <v>10</v>
      </c>
      <c r="AY22" s="209">
        <f>AM22*B22</f>
        <v>198.44480468749995</v>
      </c>
      <c r="AZ22" s="209"/>
      <c r="BA22" s="209">
        <f aca="true" t="shared" si="6" ref="BA22:BB25">AO22*D22</f>
        <v>6.044571428571429</v>
      </c>
      <c r="BB22" s="209">
        <f t="shared" si="6"/>
        <v>0</v>
      </c>
      <c r="BC22" s="209"/>
      <c r="BD22" s="209"/>
      <c r="BE22" s="209">
        <f aca="true" t="shared" si="7" ref="BE22:BF24">AS22*H22</f>
        <v>0</v>
      </c>
      <c r="BF22" s="209">
        <f t="shared" si="7"/>
        <v>31.365</v>
      </c>
      <c r="BG22" s="209">
        <f>-(IF(AM22&gt;1,(B4*B22+AM4*(AY22-B22)),(B4*AY22))+IF(AO22&gt;1,(D4*D23+AO4*(BA22-D23)),(D4*BA22))+IF(AP22&gt;1,(E4*E22+AP4*(BB22-E22)),(E4*BB22))+IF(AQ22&gt;1,(F4*F22+AQ4*(BC22-F22)),(F4*BC22))+G4*BD22+H4*BE22+IF(AT22&gt;1,(I4*I22+AT4*(BF22-I22)),(I4*BF22)))</f>
        <v>-5553.614</v>
      </c>
      <c r="BH22" s="209">
        <f>AV22*K22</f>
        <v>0</v>
      </c>
      <c r="BI22" s="215">
        <f aca="true" t="shared" si="8" ref="BI22:BI67">SUM(AY22:BH22)</f>
        <v>-5317.759623883928</v>
      </c>
      <c r="BJ22" s="33"/>
      <c r="BK22" s="110" t="s">
        <v>10</v>
      </c>
      <c r="BL22" s="157">
        <f t="shared" si="3"/>
        <v>765.5901342441404</v>
      </c>
      <c r="BM22" s="157">
        <f t="shared" si="3"/>
        <v>0</v>
      </c>
      <c r="BN22" s="157">
        <f t="shared" si="4"/>
        <v>18.90119352</v>
      </c>
      <c r="BO22" s="157">
        <f t="shared" si="4"/>
        <v>0</v>
      </c>
      <c r="BP22" s="157">
        <f t="shared" si="4"/>
        <v>0</v>
      </c>
      <c r="BQ22" s="157">
        <f t="shared" si="4"/>
        <v>0</v>
      </c>
      <c r="BR22" s="157">
        <f t="shared" si="4"/>
        <v>0</v>
      </c>
      <c r="BS22" s="157">
        <f t="shared" si="4"/>
        <v>150.3004527</v>
      </c>
      <c r="BT22" s="157">
        <f>BG22*BT$6</f>
        <v>-934.7917804641404</v>
      </c>
      <c r="BU22" s="157">
        <f>BH22*BU$6</f>
        <v>0</v>
      </c>
      <c r="BV22" s="158"/>
      <c r="BW22" s="189" t="e">
        <f>-SUM(BL22:BS22)*100/BW$16</f>
        <v>#DIV/0!</v>
      </c>
      <c r="BX22" s="189" t="s">
        <v>110</v>
      </c>
      <c r="BY22" s="189" t="e">
        <f>-SUM(BL22:BO22)*100/BY$16</f>
        <v>#DIV/0!</v>
      </c>
      <c r="BZ22" s="188" t="s">
        <v>110</v>
      </c>
      <c r="CA22" s="127" t="s">
        <v>111</v>
      </c>
    </row>
    <row r="23" spans="1:79" ht="12.75">
      <c r="A23" s="64" t="s">
        <v>11</v>
      </c>
      <c r="B23" s="65">
        <f>-($C$4/B$4)*Mtoe!B23*(B74*(100-B124)/10)</f>
        <v>71.25671875</v>
      </c>
      <c r="C23" s="65"/>
      <c r="D23" s="65">
        <f>-($C$4/D$4)*Mtoe!D23*(D74*(100-D124)/10)</f>
        <v>3.7345142857142855</v>
      </c>
      <c r="E23" s="65"/>
      <c r="F23" s="65"/>
      <c r="G23" s="65"/>
      <c r="H23" s="65"/>
      <c r="I23" s="65">
        <f>-($C$4/I$4)*Mtoe!I23*(I74*(100-I124)/10)</f>
        <v>148.215</v>
      </c>
      <c r="J23" s="252"/>
      <c r="K23" s="65"/>
      <c r="L23" s="71"/>
      <c r="N23" s="65">
        <f>-($C$4/B$4)*Mtoe!B23*((130/32)*(N74*(100-N124)/10))</f>
        <v>909.7956054687501</v>
      </c>
      <c r="O23" s="65"/>
      <c r="P23" s="65">
        <f>-($C$4/D$4)*Mtoe!D23*((130/32)*(P74*(100-P124)/10))</f>
        <v>948.2165178571428</v>
      </c>
      <c r="Q23" s="65"/>
      <c r="R23" s="65"/>
      <c r="S23" s="65"/>
      <c r="T23" s="65"/>
      <c r="U23" s="65">
        <f>-($C$4/I$4)*Mtoe!I23*((130/32)*(U74*(100-U124)/10))</f>
        <v>401.41562500000003</v>
      </c>
      <c r="V23" s="69"/>
      <c r="W23" s="65"/>
      <c r="X23" s="71"/>
      <c r="Z23" s="65">
        <f>-Mtoe!B23*(Z74*(100-Z124)/100000)</f>
        <v>1.93858</v>
      </c>
      <c r="AA23" s="65"/>
      <c r="AB23" s="65">
        <f>-Mtoe!D23*(AB74*(100-AB124)/100000)</f>
        <v>1.9128</v>
      </c>
      <c r="AC23" s="252"/>
      <c r="AD23" s="65"/>
      <c r="AE23" s="65"/>
      <c r="AF23" s="65"/>
      <c r="AG23" s="65"/>
      <c r="AH23" s="69"/>
      <c r="AI23" s="65"/>
      <c r="AJ23" s="71"/>
      <c r="AL23" s="3" t="s">
        <v>11</v>
      </c>
      <c r="AM23" s="30">
        <f>Mtoe!O23</f>
        <v>1</v>
      </c>
      <c r="AN23" s="30">
        <f>Mtoe!P23</f>
        <v>1</v>
      </c>
      <c r="AO23" s="30">
        <f>Mtoe!Q23</f>
        <v>1</v>
      </c>
      <c r="AP23" s="30">
        <f>Mtoe!R23</f>
        <v>1</v>
      </c>
      <c r="AQ23" s="30">
        <f>Mtoe!S23</f>
        <v>1</v>
      </c>
      <c r="AR23" s="30">
        <f>Mtoe!T23</f>
        <v>1</v>
      </c>
      <c r="AS23" s="30">
        <f>Mtoe!U23</f>
        <v>1</v>
      </c>
      <c r="AT23" s="30">
        <f>Mtoe!V23</f>
        <v>1</v>
      </c>
      <c r="AU23" s="30">
        <f>Mtoe!W23</f>
        <v>0</v>
      </c>
      <c r="AV23" s="30">
        <f>Mtoe!X23</f>
        <v>0</v>
      </c>
      <c r="AW23" s="39"/>
      <c r="AX23" s="3" t="s">
        <v>11</v>
      </c>
      <c r="AY23" s="209">
        <f>AM23*B23</f>
        <v>71.25671875</v>
      </c>
      <c r="AZ23" s="209"/>
      <c r="BA23" s="209">
        <f t="shared" si="6"/>
        <v>3.7345142857142855</v>
      </c>
      <c r="BB23" s="209">
        <f t="shared" si="6"/>
        <v>0</v>
      </c>
      <c r="BC23" s="209"/>
      <c r="BD23" s="209"/>
      <c r="BE23" s="209">
        <f t="shared" si="7"/>
        <v>0</v>
      </c>
      <c r="BF23" s="209">
        <f t="shared" si="7"/>
        <v>148.215</v>
      </c>
      <c r="BG23" s="209">
        <f>-(IF(AM23&gt;1,(B5*B23+AM5*(AY23-B23)),(B5*AY23))+IF(AO23&gt;1,(D5*D24+AO5*(BA23-D24)),(D5*BA23))+IF(AP23&gt;1,(E5*E23+AP5*(BB23-E23)),(E5*BB23))+IF(AQ23&gt;1,(F5*F23+AQ5*(BC23-F23)),(F5*BC23))+IF(AT23&gt;1,(I5*I23+AT5*(BF23-I23)),(I5*BF23)))</f>
        <v>0</v>
      </c>
      <c r="BH23" s="209">
        <f>-(IF(AM23&gt;1,(B6*B23+AM6*(AY23-B23)),(B6*AY23))+IF(AO23&gt;1,(D6*D24+AO6*(BA23-D24)),(D6*BA23))+IF(AP23&gt;1,(E6*E23+AP6*(BB23-E23)),(E6*BB23))+IF(AQ23&gt;1,(F6*F23+AQ6*(BC23-F23)),(F6*BC23))+IF(AT23&gt;1,(I6*I23+AT6*(BF23-I23)),(I6*BF23)))</f>
        <v>0</v>
      </c>
      <c r="BI23" s="215">
        <f t="shared" si="8"/>
        <v>223.2062330357143</v>
      </c>
      <c r="BJ23" s="33"/>
      <c r="BK23" s="110" t="s">
        <v>11</v>
      </c>
      <c r="BL23" s="157">
        <f t="shared" si="3"/>
        <v>274.9048581015625</v>
      </c>
      <c r="BM23" s="157">
        <f t="shared" si="3"/>
        <v>0</v>
      </c>
      <c r="BN23" s="157">
        <f t="shared" si="4"/>
        <v>11.677714135999997</v>
      </c>
      <c r="BO23" s="157"/>
      <c r="BP23" s="157"/>
      <c r="BQ23" s="157"/>
      <c r="BR23" s="157"/>
      <c r="BS23" s="157">
        <f t="shared" si="4"/>
        <v>710.2433156999999</v>
      </c>
      <c r="BT23" s="157" t="e">
        <f>BG23*BT$7</f>
        <v>#DIV/0!</v>
      </c>
      <c r="BU23" s="157" t="e">
        <f>BH23*BU7</f>
        <v>#DIV/0!</v>
      </c>
      <c r="BV23" s="158" t="e">
        <f>SUM(BL23:BU23)</f>
        <v>#DIV/0!</v>
      </c>
      <c r="BW23" s="189" t="e">
        <f>-SUM(BL23:BS23)*100/BW$16</f>
        <v>#DIV/0!</v>
      </c>
      <c r="BX23" s="189" t="s">
        <v>110</v>
      </c>
      <c r="BY23" s="189" t="e">
        <f>-SUM(BL23:BO23)*100/BY$16</f>
        <v>#DIV/0!</v>
      </c>
      <c r="BZ23" s="188" t="s">
        <v>110</v>
      </c>
      <c r="CA23" s="127" t="s">
        <v>111</v>
      </c>
    </row>
    <row r="24" spans="1:79" ht="12.75">
      <c r="A24" s="64" t="s">
        <v>12</v>
      </c>
      <c r="B24" s="65">
        <f>-($C$4/B$4)*Mtoe!B24*(B75*(100-B125)/10)</f>
        <v>11.636953125</v>
      </c>
      <c r="C24" s="65"/>
      <c r="D24" s="65">
        <f>-($C$4/D$4)*Mtoe!D24*(D75*(100-D125)/10)</f>
        <v>0.3186285714285714</v>
      </c>
      <c r="E24" s="65"/>
      <c r="F24" s="65"/>
      <c r="G24" s="65"/>
      <c r="H24" s="65"/>
      <c r="I24" s="65">
        <f>-($C$4/I$4)*Mtoe!I24*(I75*(100-I125)/10)</f>
        <v>65.36571428571429</v>
      </c>
      <c r="J24" s="252"/>
      <c r="K24" s="65"/>
      <c r="L24" s="71"/>
      <c r="N24" s="65">
        <f>-($C$4/B$4)*Mtoe!B24*((130/32)*(N75*(100-N125)/10))</f>
        <v>371.44738769531256</v>
      </c>
      <c r="O24" s="65"/>
      <c r="P24" s="65">
        <f>-($C$4/D$4)*Mtoe!D24*((130/32)*(P75*(100-P125)/10))</f>
        <v>80.90178571428571</v>
      </c>
      <c r="Q24" s="65"/>
      <c r="R24" s="65"/>
      <c r="S24" s="65"/>
      <c r="T24" s="65"/>
      <c r="U24" s="65">
        <f>-($C$4/I$4)*Mtoe!I24*((130/32)*(U75*(100-U125)/10))</f>
        <v>88.51607142857144</v>
      </c>
      <c r="V24" s="65"/>
      <c r="W24" s="65"/>
      <c r="X24" s="71"/>
      <c r="Z24" s="65">
        <f>-Mtoe!B24*(Z75*(100-Z125)/100000)</f>
        <v>0.519</v>
      </c>
      <c r="AA24" s="65"/>
      <c r="AB24" s="65">
        <f>-Mtoe!D24*(AB75*(100-AB125)/100000)</f>
        <v>0.24479999999999996</v>
      </c>
      <c r="AC24" s="252"/>
      <c r="AD24" s="65"/>
      <c r="AE24" s="65"/>
      <c r="AF24" s="65"/>
      <c r="AG24" s="65"/>
      <c r="AH24" s="65"/>
      <c r="AI24" s="65"/>
      <c r="AJ24" s="71"/>
      <c r="AL24" s="3" t="s">
        <v>12</v>
      </c>
      <c r="AM24" s="30">
        <f>Mtoe!O24</f>
        <v>1</v>
      </c>
      <c r="AN24" s="30">
        <f>Mtoe!P24</f>
        <v>1</v>
      </c>
      <c r="AO24" s="30">
        <f>Mtoe!Q24</f>
        <v>1</v>
      </c>
      <c r="AP24" s="30">
        <f>Mtoe!R24</f>
        <v>1</v>
      </c>
      <c r="AQ24" s="30">
        <f>Mtoe!S24</f>
        <v>1</v>
      </c>
      <c r="AR24" s="30">
        <f>Mtoe!T24</f>
        <v>1</v>
      </c>
      <c r="AS24" s="30">
        <f>Mtoe!U24</f>
        <v>1</v>
      </c>
      <c r="AT24" s="30">
        <f>Mtoe!V24</f>
        <v>1</v>
      </c>
      <c r="AU24" s="30">
        <f>Mtoe!W24</f>
        <v>1</v>
      </c>
      <c r="AV24" s="30">
        <f>Mtoe!X24</f>
        <v>0</v>
      </c>
      <c r="AW24" s="39"/>
      <c r="AX24" s="3" t="s">
        <v>12</v>
      </c>
      <c r="AY24" s="209">
        <f>AM24*B24</f>
        <v>11.636953125</v>
      </c>
      <c r="AZ24" s="209"/>
      <c r="BA24" s="209">
        <f t="shared" si="6"/>
        <v>0.3186285714285714</v>
      </c>
      <c r="BB24" s="209">
        <f t="shared" si="6"/>
        <v>0</v>
      </c>
      <c r="BC24" s="209"/>
      <c r="BD24" s="209"/>
      <c r="BE24" s="209">
        <f t="shared" si="7"/>
        <v>0</v>
      </c>
      <c r="BF24" s="209">
        <f t="shared" si="7"/>
        <v>65.36571428571429</v>
      </c>
      <c r="BG24" s="209">
        <f>AU24*J24</f>
        <v>0</v>
      </c>
      <c r="BH24" s="209">
        <f>-(IF(AM24&gt;1,(B7*B24+AM7*(AY24-B24)),(B7*AY24))+IF(AO24&gt;1,(D7*D25+AO7*(BA24-D25)),(D7*BA24))+IF(AP24&gt;1,(E7*E24+AP7*(BB24-E24)),(E7*BB24))+IF(AQ24&gt;1,(F7*F24+AQ7*(BC24-F24)),(F7*BC24))+IF(AT24&gt;1,(I7*I24+AT7*(BF24-I24)),(I7*BF24)))</f>
        <v>0</v>
      </c>
      <c r="BI24" s="215">
        <f t="shared" si="8"/>
        <v>77.32129598214286</v>
      </c>
      <c r="BJ24" s="33"/>
      <c r="BK24" s="110" t="s">
        <v>12</v>
      </c>
      <c r="BL24" s="157">
        <f t="shared" si="3"/>
        <v>44.894783308593745</v>
      </c>
      <c r="BM24" s="157">
        <f t="shared" si="3"/>
        <v>0</v>
      </c>
      <c r="BN24" s="157">
        <f t="shared" si="4"/>
        <v>0.9963419839999998</v>
      </c>
      <c r="BO24" s="157"/>
      <c r="BP24" s="157"/>
      <c r="BQ24" s="157"/>
      <c r="BR24" s="157"/>
      <c r="BS24" s="157">
        <f t="shared" si="4"/>
        <v>313.23119554285717</v>
      </c>
      <c r="BT24" s="157"/>
      <c r="BU24" s="157" t="e">
        <f>BH24*BU8</f>
        <v>#DIV/0!</v>
      </c>
      <c r="BV24" s="158" t="e">
        <f>SUM(BL24:BU24)</f>
        <v>#DIV/0!</v>
      </c>
      <c r="BW24" s="189" t="e">
        <f>-SUM(BL24:BS24)*100/BW$16</f>
        <v>#DIV/0!</v>
      </c>
      <c r="BX24" s="189" t="s">
        <v>110</v>
      </c>
      <c r="BY24" s="189" t="e">
        <f>-SUM(BL24:BO24)*100/BY$16</f>
        <v>#DIV/0!</v>
      </c>
      <c r="BZ24" s="188" t="s">
        <v>110</v>
      </c>
      <c r="CA24" s="127" t="s">
        <v>111</v>
      </c>
    </row>
    <row r="25" spans="1:78" ht="12.75">
      <c r="A25" s="64" t="s">
        <v>14</v>
      </c>
      <c r="B25" s="65">
        <f>-($C$4/B$4)*Mtoe!B25*(B76*(100-B126)/10)</f>
        <v>1.0314062499999999</v>
      </c>
      <c r="C25" s="65"/>
      <c r="D25" s="65">
        <f>-($C$4/D$4)*Mtoe!D25*(D76*(100-D126)/10)</f>
        <v>0.07028571428571428</v>
      </c>
      <c r="E25" s="65"/>
      <c r="F25" s="65"/>
      <c r="G25" s="65"/>
      <c r="H25" s="65"/>
      <c r="I25" s="65"/>
      <c r="J25" s="252"/>
      <c r="K25" s="65"/>
      <c r="L25" s="71"/>
      <c r="N25" s="65">
        <f>-($C$4/B$4)*Mtoe!B25*((130/32)*(N76*(100-N126)/10))</f>
        <v>3.2922119140625</v>
      </c>
      <c r="O25" s="65"/>
      <c r="P25" s="65">
        <f>-($C$4/D$4)*Mtoe!D25*((130/32)*(P76*(100-P126)/10))</f>
        <v>1.7845982142857142</v>
      </c>
      <c r="Q25" s="65"/>
      <c r="R25" s="65"/>
      <c r="S25" s="65"/>
      <c r="T25" s="65"/>
      <c r="U25" s="65"/>
      <c r="V25" s="65"/>
      <c r="W25" s="65"/>
      <c r="X25" s="71"/>
      <c r="Z25" s="65"/>
      <c r="AA25" s="65"/>
      <c r="AB25" s="65"/>
      <c r="AC25" s="65"/>
      <c r="AD25" s="65"/>
      <c r="AE25" s="65"/>
      <c r="AF25" s="65"/>
      <c r="AG25" s="65"/>
      <c r="AH25" s="65"/>
      <c r="AI25" s="65"/>
      <c r="AJ25" s="71"/>
      <c r="AL25" s="3" t="s">
        <v>14</v>
      </c>
      <c r="AM25" s="30">
        <f>Mtoe!O25</f>
        <v>1</v>
      </c>
      <c r="AN25" s="30">
        <f>Mtoe!P25</f>
        <v>1</v>
      </c>
      <c r="AO25" s="30">
        <f>Mtoe!Q25</f>
        <v>1</v>
      </c>
      <c r="AP25" s="30">
        <f>Mtoe!R25</f>
        <v>1</v>
      </c>
      <c r="AQ25" s="30">
        <f>Mtoe!S25</f>
        <v>1</v>
      </c>
      <c r="AR25" s="30">
        <f>Mtoe!T25</f>
        <v>1</v>
      </c>
      <c r="AS25" s="30">
        <f>Mtoe!U25</f>
        <v>1</v>
      </c>
      <c r="AT25" s="30">
        <f>Mtoe!V25</f>
        <v>1</v>
      </c>
      <c r="AU25" s="30">
        <f>Mtoe!W25</f>
        <v>1</v>
      </c>
      <c r="AV25" s="30">
        <f>Mtoe!X25</f>
        <v>1</v>
      </c>
      <c r="AW25" s="39"/>
      <c r="AX25" s="3" t="s">
        <v>14</v>
      </c>
      <c r="AY25" s="209">
        <f>AM25*B25</f>
        <v>1.0314062499999999</v>
      </c>
      <c r="AZ25" s="209"/>
      <c r="BA25" s="209">
        <f t="shared" si="6"/>
        <v>0.07028571428571428</v>
      </c>
      <c r="BB25" s="209">
        <f t="shared" si="6"/>
        <v>0</v>
      </c>
      <c r="BC25" s="209"/>
      <c r="BD25" s="209"/>
      <c r="BE25" s="209"/>
      <c r="BF25" s="209"/>
      <c r="BG25" s="209"/>
      <c r="BH25" s="209"/>
      <c r="BI25" s="215">
        <f t="shared" si="8"/>
        <v>1.1016919642857141</v>
      </c>
      <c r="BJ25" s="33"/>
      <c r="BK25" s="110" t="s">
        <v>14</v>
      </c>
      <c r="BL25" s="157">
        <f t="shared" si="3"/>
        <v>3.9791137421874994</v>
      </c>
      <c r="BM25" s="157">
        <f t="shared" si="3"/>
        <v>0</v>
      </c>
      <c r="BN25" s="157">
        <f t="shared" si="4"/>
        <v>0.21978131999999997</v>
      </c>
      <c r="BO25" s="157"/>
      <c r="BP25" s="157"/>
      <c r="BQ25" s="157"/>
      <c r="BR25" s="157"/>
      <c r="BS25" s="157">
        <f t="shared" si="4"/>
        <v>0</v>
      </c>
      <c r="BT25" s="157"/>
      <c r="BU25" s="157"/>
      <c r="BV25" s="158">
        <f aca="true" t="shared" si="9" ref="BV25:BV31">SUM(BL25:BU25)</f>
        <v>4.198895062187499</v>
      </c>
      <c r="BW25" s="4" t="e">
        <f t="shared" si="5"/>
        <v>#DIV/0!</v>
      </c>
      <c r="BX25" s="4" t="s">
        <v>110</v>
      </c>
      <c r="BY25" s="4">
        <v>0.027989297724453212</v>
      </c>
      <c r="BZ25" t="s">
        <v>110</v>
      </c>
    </row>
    <row r="26" spans="1:78" ht="12.75">
      <c r="A26" s="64" t="s">
        <v>15</v>
      </c>
      <c r="B26" s="65"/>
      <c r="C26" s="65">
        <f>-($C$4/C$4)*(Mtoe!C26+Mtoe!D26)*(C77*(100-C127)/10)</f>
        <v>2.7159999999999855</v>
      </c>
      <c r="D26" s="65"/>
      <c r="E26" s="65"/>
      <c r="F26" s="65"/>
      <c r="G26" s="65"/>
      <c r="H26" s="65"/>
      <c r="I26" s="65"/>
      <c r="J26" s="252"/>
      <c r="K26" s="65"/>
      <c r="L26" s="71"/>
      <c r="N26" s="65"/>
      <c r="O26" s="65">
        <f>-($C$4/C$4)*(Mtoe!C26+Mtoe!D26)*((130/32)*(O77*(100-O127)/10))</f>
        <v>68.96093749999963</v>
      </c>
      <c r="P26" s="65"/>
      <c r="Q26" s="65"/>
      <c r="R26" s="65"/>
      <c r="S26" s="65"/>
      <c r="T26" s="65"/>
      <c r="U26" s="65"/>
      <c r="V26" s="65"/>
      <c r="W26" s="65"/>
      <c r="X26" s="71"/>
      <c r="Z26" s="65"/>
      <c r="AA26" s="65"/>
      <c r="AB26" s="65"/>
      <c r="AC26" s="65"/>
      <c r="AD26" s="65"/>
      <c r="AE26" s="65"/>
      <c r="AF26" s="65"/>
      <c r="AG26" s="65"/>
      <c r="AH26" s="65"/>
      <c r="AI26" s="65"/>
      <c r="AJ26" s="71"/>
      <c r="AL26" s="3" t="s">
        <v>15</v>
      </c>
      <c r="AM26" s="30">
        <f>Mtoe!O26</f>
        <v>1</v>
      </c>
      <c r="AN26" s="30">
        <f>Mtoe!P26</f>
        <v>1</v>
      </c>
      <c r="AO26" s="30">
        <f>Mtoe!Q26</f>
        <v>1</v>
      </c>
      <c r="AP26" s="30">
        <f>Mtoe!R26</f>
        <v>1</v>
      </c>
      <c r="AQ26" s="30">
        <f>Mtoe!S26</f>
        <v>1</v>
      </c>
      <c r="AR26" s="30">
        <f>Mtoe!T26</f>
        <v>1</v>
      </c>
      <c r="AS26" s="30">
        <f>Mtoe!U26</f>
        <v>1</v>
      </c>
      <c r="AT26" s="30">
        <f>Mtoe!V26</f>
        <v>1</v>
      </c>
      <c r="AU26" s="30">
        <f>Mtoe!W26</f>
        <v>1</v>
      </c>
      <c r="AV26" s="30">
        <f>Mtoe!X26</f>
        <v>1</v>
      </c>
      <c r="AW26" s="39"/>
      <c r="AX26" s="3" t="s">
        <v>15</v>
      </c>
      <c r="AY26" s="209"/>
      <c r="AZ26" s="209">
        <f>AN26*C26</f>
        <v>2.7159999999999855</v>
      </c>
      <c r="BA26" s="209">
        <f>AO26*D26</f>
        <v>0</v>
      </c>
      <c r="BB26" s="209"/>
      <c r="BC26" s="209"/>
      <c r="BD26" s="209"/>
      <c r="BE26" s="209"/>
      <c r="BF26" s="209"/>
      <c r="BG26" s="209"/>
      <c r="BH26" s="209"/>
      <c r="BI26" s="215">
        <f t="shared" si="8"/>
        <v>2.7159999999999855</v>
      </c>
      <c r="BJ26" s="33"/>
      <c r="BK26" s="110" t="s">
        <v>15</v>
      </c>
      <c r="BL26" s="157"/>
      <c r="BM26" s="157">
        <f t="shared" si="3"/>
        <v>8.492850519999953</v>
      </c>
      <c r="BN26" s="157">
        <f t="shared" si="4"/>
        <v>0</v>
      </c>
      <c r="BO26" s="157"/>
      <c r="BP26" s="157"/>
      <c r="BQ26" s="157"/>
      <c r="BR26" s="157"/>
      <c r="BS26" s="157">
        <f t="shared" si="4"/>
        <v>0</v>
      </c>
      <c r="BT26" s="157"/>
      <c r="BU26" s="157"/>
      <c r="BV26" s="158">
        <f t="shared" si="9"/>
        <v>8.492850519999953</v>
      </c>
      <c r="BW26" s="4" t="e">
        <f t="shared" si="5"/>
        <v>#DIV/0!</v>
      </c>
      <c r="BX26" s="4" t="s">
        <v>110</v>
      </c>
      <c r="BY26" s="4">
        <v>0.46017750092062254</v>
      </c>
      <c r="BZ26" t="s">
        <v>110</v>
      </c>
    </row>
    <row r="27" spans="1:78" ht="12.75">
      <c r="A27" s="64" t="s">
        <v>16</v>
      </c>
      <c r="B27" s="65"/>
      <c r="C27" s="65">
        <f>($C$4/C$4)*Mtoe!C27*(C78*(100-C128)/10)</f>
        <v>0.08</v>
      </c>
      <c r="D27" s="65">
        <f>-($C$4/D$4)*Mtoe!D27*(D78*(100-D128)/10)</f>
        <v>0.7653333333333334</v>
      </c>
      <c r="E27" s="65"/>
      <c r="F27" s="65"/>
      <c r="G27" s="65"/>
      <c r="H27" s="65"/>
      <c r="I27" s="65"/>
      <c r="J27" s="252"/>
      <c r="K27" s="65"/>
      <c r="L27" s="71"/>
      <c r="N27" s="65"/>
      <c r="O27" s="65">
        <f>($C$4/C$4)*Mtoe!C27*((130/32)*(O78*(100-O128)/10))</f>
        <v>2.03125</v>
      </c>
      <c r="P27" s="65">
        <f>-($C$4/D$4)*Mtoe!D27*((130/32)*(P78*(100-P128)/10))</f>
        <v>194.32291666666666</v>
      </c>
      <c r="Q27" s="65"/>
      <c r="R27" s="65"/>
      <c r="S27" s="65"/>
      <c r="T27" s="65"/>
      <c r="U27" s="65"/>
      <c r="V27" s="65"/>
      <c r="W27" s="65"/>
      <c r="X27" s="71"/>
      <c r="Z27" s="65"/>
      <c r="AA27" s="65"/>
      <c r="AB27" s="65"/>
      <c r="AC27" s="65"/>
      <c r="AD27" s="65"/>
      <c r="AE27" s="65"/>
      <c r="AF27" s="65"/>
      <c r="AG27" s="65"/>
      <c r="AH27" s="65"/>
      <c r="AI27" s="65"/>
      <c r="AJ27" s="71"/>
      <c r="AL27" s="3" t="s">
        <v>16</v>
      </c>
      <c r="AM27" s="30">
        <f>Mtoe!O27</f>
        <v>1</v>
      </c>
      <c r="AN27" s="30">
        <f>Mtoe!P27</f>
        <v>1</v>
      </c>
      <c r="AO27" s="30">
        <f>Mtoe!Q27</f>
        <v>1</v>
      </c>
      <c r="AP27" s="30">
        <f>Mtoe!R27</f>
        <v>1</v>
      </c>
      <c r="AQ27" s="30">
        <f>Mtoe!S27</f>
        <v>1</v>
      </c>
      <c r="AR27" s="30">
        <f>Mtoe!T27</f>
        <v>1</v>
      </c>
      <c r="AS27" s="30">
        <f>Mtoe!U27</f>
        <v>1</v>
      </c>
      <c r="AT27" s="30">
        <f>Mtoe!V27</f>
        <v>1</v>
      </c>
      <c r="AU27" s="30">
        <f>Mtoe!W27</f>
        <v>1</v>
      </c>
      <c r="AV27" s="30">
        <f>Mtoe!X27</f>
        <v>1</v>
      </c>
      <c r="AW27" s="39"/>
      <c r="AX27" s="3" t="s">
        <v>16</v>
      </c>
      <c r="AY27" s="209">
        <f>AM27*B27*AY35/B35</f>
        <v>0</v>
      </c>
      <c r="AZ27" s="209">
        <f>AN27*C27</f>
        <v>0.08</v>
      </c>
      <c r="BA27" s="209">
        <f>AO27*D27</f>
        <v>0.7653333333333334</v>
      </c>
      <c r="BB27" s="209">
        <f>AP27*E27</f>
        <v>0</v>
      </c>
      <c r="BC27" s="209"/>
      <c r="BD27" s="209"/>
      <c r="BE27" s="209"/>
      <c r="BF27" s="209"/>
      <c r="BG27" s="209"/>
      <c r="BH27" s="209"/>
      <c r="BI27" s="215">
        <f t="shared" si="8"/>
        <v>0.8453333333333334</v>
      </c>
      <c r="BJ27" s="33"/>
      <c r="BK27" s="110" t="s">
        <v>16</v>
      </c>
      <c r="BL27" s="157">
        <f t="shared" si="3"/>
        <v>0</v>
      </c>
      <c r="BM27" s="157">
        <f t="shared" si="3"/>
        <v>0.2501576</v>
      </c>
      <c r="BN27" s="157">
        <f t="shared" si="4"/>
        <v>2.3931743733333333</v>
      </c>
      <c r="BO27" s="157"/>
      <c r="BP27" s="157"/>
      <c r="BQ27" s="157"/>
      <c r="BR27" s="157"/>
      <c r="BS27" s="157">
        <f t="shared" si="4"/>
        <v>0</v>
      </c>
      <c r="BT27" s="157"/>
      <c r="BU27" s="157"/>
      <c r="BV27" s="158">
        <f t="shared" si="9"/>
        <v>2.6433319733333334</v>
      </c>
      <c r="BW27" s="4" t="e">
        <f t="shared" si="5"/>
        <v>#DIV/0!</v>
      </c>
      <c r="BX27" s="4" t="s">
        <v>110</v>
      </c>
      <c r="BY27" s="4">
        <v>2.1794861261397966</v>
      </c>
      <c r="BZ27" t="s">
        <v>110</v>
      </c>
    </row>
    <row r="28" spans="1:77" ht="12.75">
      <c r="A28" s="64" t="s">
        <v>17</v>
      </c>
      <c r="B28" s="65"/>
      <c r="C28" s="65"/>
      <c r="D28" s="252"/>
      <c r="E28" s="65"/>
      <c r="F28" s="65"/>
      <c r="G28" s="65"/>
      <c r="H28" s="65"/>
      <c r="I28" s="65"/>
      <c r="J28" s="252"/>
      <c r="K28" s="65"/>
      <c r="L28" s="71"/>
      <c r="N28" s="65"/>
      <c r="O28" s="65"/>
      <c r="P28" s="65"/>
      <c r="Q28" s="65"/>
      <c r="R28" s="65"/>
      <c r="S28" s="65"/>
      <c r="T28" s="65"/>
      <c r="U28" s="65"/>
      <c r="V28" s="65"/>
      <c r="W28" s="65"/>
      <c r="X28" s="71"/>
      <c r="Z28" s="65"/>
      <c r="AA28" s="65"/>
      <c r="AB28" s="65"/>
      <c r="AC28" s="65"/>
      <c r="AD28" s="65"/>
      <c r="AE28" s="65"/>
      <c r="AF28" s="65"/>
      <c r="AG28" s="65"/>
      <c r="AH28" s="65"/>
      <c r="AI28" s="65"/>
      <c r="AJ28" s="71"/>
      <c r="AL28" s="3" t="s">
        <v>17</v>
      </c>
      <c r="AM28" s="30">
        <f>Mtoe!O28</f>
        <v>1</v>
      </c>
      <c r="AN28" s="30">
        <f>Mtoe!P28</f>
        <v>1</v>
      </c>
      <c r="AO28" s="30">
        <f>Mtoe!Q28</f>
        <v>1</v>
      </c>
      <c r="AP28" s="30">
        <f>Mtoe!R28</f>
        <v>1</v>
      </c>
      <c r="AQ28" s="30">
        <f>Mtoe!S28</f>
        <v>1</v>
      </c>
      <c r="AR28" s="30">
        <f>Mtoe!T28</f>
        <v>1</v>
      </c>
      <c r="AS28" s="30">
        <f>Mtoe!U28</f>
        <v>1</v>
      </c>
      <c r="AT28" s="30">
        <f>Mtoe!V28</f>
        <v>1</v>
      </c>
      <c r="AU28" s="30">
        <f>Mtoe!W28</f>
        <v>1</v>
      </c>
      <c r="AV28" s="30">
        <f>Mtoe!X28</f>
        <v>1</v>
      </c>
      <c r="AW28" s="39"/>
      <c r="AX28" s="3" t="s">
        <v>17</v>
      </c>
      <c r="AY28" s="209"/>
      <c r="AZ28" s="209"/>
      <c r="BA28" s="209"/>
      <c r="BB28" s="209"/>
      <c r="BC28" s="209"/>
      <c r="BD28" s="209"/>
      <c r="BE28" s="209"/>
      <c r="BF28" s="209"/>
      <c r="BG28" s="209"/>
      <c r="BH28" s="209"/>
      <c r="BI28" s="215">
        <f t="shared" si="8"/>
        <v>0</v>
      </c>
      <c r="BJ28" s="33"/>
      <c r="BK28" s="110" t="s">
        <v>17</v>
      </c>
      <c r="BL28" s="157"/>
      <c r="BM28" s="157">
        <f t="shared" si="3"/>
        <v>0</v>
      </c>
      <c r="BN28" s="157">
        <f t="shared" si="4"/>
        <v>0</v>
      </c>
      <c r="BO28" s="157"/>
      <c r="BP28" s="157"/>
      <c r="BQ28" s="157"/>
      <c r="BR28" s="157"/>
      <c r="BS28" s="157">
        <f t="shared" si="4"/>
        <v>0</v>
      </c>
      <c r="BT28" s="157"/>
      <c r="BU28" s="157"/>
      <c r="BV28" s="158">
        <f t="shared" si="9"/>
        <v>0</v>
      </c>
      <c r="BW28" s="4" t="e">
        <f t="shared" si="5"/>
        <v>#DIV/0!</v>
      </c>
      <c r="BX28" s="4"/>
      <c r="BY28" s="4">
        <v>0</v>
      </c>
    </row>
    <row r="29" spans="1:79" ht="12.75">
      <c r="A29" s="64" t="s">
        <v>18</v>
      </c>
      <c r="B29" s="65">
        <f>($C$4/B$4)*Mtoe!B29*(B80*(100-B130)/10)</f>
        <v>2.2421875</v>
      </c>
      <c r="C29" s="65"/>
      <c r="D29" s="65"/>
      <c r="E29" s="65"/>
      <c r="F29" s="65"/>
      <c r="G29" s="65"/>
      <c r="H29" s="65"/>
      <c r="I29" s="65">
        <f>-($C$4/I$4)*Mtoe!I29*(I80*(100-I130)/10)</f>
        <v>19.328571428571426</v>
      </c>
      <c r="J29" s="252"/>
      <c r="K29" s="65"/>
      <c r="L29" s="71"/>
      <c r="N29" s="65">
        <f>($C$4/B$4)*Mtoe!B29*((130/32)*(N80*(100-N130)/10))</f>
        <v>0.7156982421875</v>
      </c>
      <c r="O29" s="65"/>
      <c r="P29" s="65"/>
      <c r="Q29" s="65"/>
      <c r="R29" s="65"/>
      <c r="S29" s="65"/>
      <c r="T29" s="65"/>
      <c r="U29" s="65">
        <f>-($C$4/I$4)*Mtoe!I29*((130/32)*(U80*(100-U130)/10))</f>
        <v>2.617410714285714</v>
      </c>
      <c r="V29" s="65"/>
      <c r="W29" s="65"/>
      <c r="X29" s="71"/>
      <c r="Z29" s="65"/>
      <c r="AA29" s="65"/>
      <c r="AB29" s="65"/>
      <c r="AC29" s="65"/>
      <c r="AD29" s="65"/>
      <c r="AE29" s="65"/>
      <c r="AF29" s="65"/>
      <c r="AG29" s="65"/>
      <c r="AH29" s="65"/>
      <c r="AI29" s="65"/>
      <c r="AJ29" s="71"/>
      <c r="AL29" s="3" t="s">
        <v>18</v>
      </c>
      <c r="AM29" s="30">
        <f>Mtoe!O29</f>
        <v>1</v>
      </c>
      <c r="AN29" s="30">
        <f>Mtoe!P29</f>
        <v>1</v>
      </c>
      <c r="AO29" s="30">
        <f>Mtoe!Q29</f>
        <v>1</v>
      </c>
      <c r="AP29" s="30">
        <f>Mtoe!R29</f>
        <v>1</v>
      </c>
      <c r="AQ29" s="30">
        <f>Mtoe!S29</f>
        <v>1</v>
      </c>
      <c r="AR29" s="30">
        <f>Mtoe!T29</f>
        <v>1</v>
      </c>
      <c r="AS29" s="30">
        <f>Mtoe!U29</f>
        <v>1</v>
      </c>
      <c r="AT29" s="30">
        <f>Mtoe!V29</f>
        <v>1</v>
      </c>
      <c r="AU29" s="30">
        <f>Mtoe!W29</f>
        <v>1</v>
      </c>
      <c r="AV29" s="30">
        <f>Mtoe!X29</f>
        <v>1</v>
      </c>
      <c r="AW29" s="39"/>
      <c r="AX29" s="3" t="s">
        <v>18</v>
      </c>
      <c r="AY29" s="209"/>
      <c r="AZ29" s="209"/>
      <c r="BA29" s="209"/>
      <c r="BB29" s="209"/>
      <c r="BC29" s="209"/>
      <c r="BD29" s="209"/>
      <c r="BE29" s="209"/>
      <c r="BF29" s="209"/>
      <c r="BG29" s="209"/>
      <c r="BH29" s="209"/>
      <c r="BI29" s="215"/>
      <c r="BJ29" s="33"/>
      <c r="BK29" s="110" t="s">
        <v>18</v>
      </c>
      <c r="BL29" s="157">
        <f t="shared" si="3"/>
        <v>0</v>
      </c>
      <c r="BM29" s="157">
        <f t="shared" si="3"/>
        <v>0</v>
      </c>
      <c r="BN29" s="157">
        <f t="shared" si="4"/>
        <v>0</v>
      </c>
      <c r="BO29" s="157"/>
      <c r="BP29" s="157"/>
      <c r="BQ29" s="157"/>
      <c r="BR29" s="157"/>
      <c r="BS29" s="157">
        <f t="shared" si="4"/>
        <v>0</v>
      </c>
      <c r="BT29" s="157">
        <f>BG29*BT$6</f>
        <v>0</v>
      </c>
      <c r="BU29" s="157">
        <f>BH29*BU$6</f>
        <v>0</v>
      </c>
      <c r="BV29" s="158">
        <f t="shared" si="9"/>
        <v>0</v>
      </c>
      <c r="BW29" s="4" t="e">
        <f t="shared" si="5"/>
        <v>#DIV/0!</v>
      </c>
      <c r="BX29" s="4" t="s">
        <v>110</v>
      </c>
      <c r="BY29" s="4">
        <v>0.023130778119453715</v>
      </c>
      <c r="BZ29" t="s">
        <v>110</v>
      </c>
      <c r="CA29" t="s">
        <v>129</v>
      </c>
    </row>
    <row r="30" spans="1:79" ht="12.75">
      <c r="A30" s="64" t="s">
        <v>19</v>
      </c>
      <c r="B30" s="65"/>
      <c r="C30" s="65"/>
      <c r="D30" s="65"/>
      <c r="E30" s="65"/>
      <c r="F30" s="65"/>
      <c r="G30" s="65"/>
      <c r="H30" s="65"/>
      <c r="I30" s="65"/>
      <c r="J30" s="252"/>
      <c r="K30" s="65"/>
      <c r="L30" s="71"/>
      <c r="N30" s="65"/>
      <c r="O30" s="65"/>
      <c r="P30" s="65"/>
      <c r="Q30" s="65"/>
      <c r="R30" s="65"/>
      <c r="S30" s="65"/>
      <c r="T30" s="65"/>
      <c r="U30" s="65"/>
      <c r="V30" s="65"/>
      <c r="W30" s="65"/>
      <c r="X30" s="71"/>
      <c r="Z30" s="65"/>
      <c r="AA30" s="65"/>
      <c r="AB30" s="65"/>
      <c r="AC30" s="65"/>
      <c r="AD30" s="65"/>
      <c r="AE30" s="65"/>
      <c r="AF30" s="65"/>
      <c r="AG30" s="65"/>
      <c r="AH30" s="65"/>
      <c r="AI30" s="65"/>
      <c r="AJ30" s="71"/>
      <c r="AL30" s="3" t="s">
        <v>19</v>
      </c>
      <c r="AM30" s="30">
        <f>Mtoe!O30</f>
        <v>1</v>
      </c>
      <c r="AN30" s="30">
        <f>Mtoe!P30</f>
        <v>1</v>
      </c>
      <c r="AO30" s="30">
        <f>Mtoe!Q30</f>
        <v>1</v>
      </c>
      <c r="AP30" s="30">
        <f>Mtoe!R30</f>
        <v>1</v>
      </c>
      <c r="AQ30" s="30">
        <f>Mtoe!S30</f>
        <v>0</v>
      </c>
      <c r="AR30" s="30">
        <f>Mtoe!T30</f>
        <v>0</v>
      </c>
      <c r="AS30" s="30">
        <f>Mtoe!U30</f>
        <v>0</v>
      </c>
      <c r="AT30" s="30">
        <f>Mtoe!V30</f>
        <v>1</v>
      </c>
      <c r="AU30" s="30">
        <f>Mtoe!W30</f>
        <v>1</v>
      </c>
      <c r="AV30" s="30">
        <f>Mtoe!X30</f>
        <v>1</v>
      </c>
      <c r="AW30" s="39"/>
      <c r="AX30" s="3" t="s">
        <v>19</v>
      </c>
      <c r="AY30" s="209">
        <f>AM30*B30</f>
        <v>0</v>
      </c>
      <c r="AZ30" s="209"/>
      <c r="BA30" s="209">
        <f>AO30*AZ26*D30/C26</f>
        <v>0</v>
      </c>
      <c r="BB30" s="209"/>
      <c r="BC30" s="209"/>
      <c r="BD30" s="209"/>
      <c r="BE30" s="209"/>
      <c r="BF30" s="209"/>
      <c r="BG30" s="209"/>
      <c r="BH30" s="209"/>
      <c r="BI30" s="215"/>
      <c r="BJ30" s="33"/>
      <c r="BK30" s="110" t="s">
        <v>19</v>
      </c>
      <c r="BL30" s="157">
        <f t="shared" si="3"/>
        <v>0</v>
      </c>
      <c r="BM30" s="157">
        <f t="shared" si="3"/>
        <v>0</v>
      </c>
      <c r="BN30" s="157">
        <f t="shared" si="4"/>
        <v>0</v>
      </c>
      <c r="BO30" s="157"/>
      <c r="BP30" s="157"/>
      <c r="BQ30" s="157"/>
      <c r="BR30" s="157"/>
      <c r="BS30" s="157">
        <f t="shared" si="4"/>
        <v>0</v>
      </c>
      <c r="BT30" s="157">
        <f>BG30*BT$6</f>
        <v>0</v>
      </c>
      <c r="BU30" s="157">
        <f>BH30*BU$6</f>
        <v>0</v>
      </c>
      <c r="BV30" s="158">
        <f t="shared" si="9"/>
        <v>0</v>
      </c>
      <c r="BW30" s="4" t="e">
        <f t="shared" si="5"/>
        <v>#DIV/0!</v>
      </c>
      <c r="BX30" s="4" t="s">
        <v>110</v>
      </c>
      <c r="BY30" s="4">
        <v>6.077478968684176</v>
      </c>
      <c r="BZ30" t="s">
        <v>110</v>
      </c>
      <c r="CA30" t="s">
        <v>130</v>
      </c>
    </row>
    <row r="31" spans="1:80" ht="13.5" thickBot="1">
      <c r="A31" s="70" t="s">
        <v>20</v>
      </c>
      <c r="B31" s="65"/>
      <c r="C31" s="65"/>
      <c r="D31" s="65"/>
      <c r="E31" s="70"/>
      <c r="F31" s="70"/>
      <c r="G31" s="70"/>
      <c r="H31" s="70"/>
      <c r="I31" s="65"/>
      <c r="J31" s="252"/>
      <c r="K31" s="70"/>
      <c r="L31" s="71"/>
      <c r="N31" s="65"/>
      <c r="O31" s="65"/>
      <c r="P31" s="65"/>
      <c r="Q31" s="70"/>
      <c r="R31" s="70"/>
      <c r="S31" s="70"/>
      <c r="T31" s="70"/>
      <c r="U31" s="65"/>
      <c r="V31" s="70"/>
      <c r="W31" s="70"/>
      <c r="X31" s="71"/>
      <c r="Z31" s="70"/>
      <c r="AA31" s="70"/>
      <c r="AB31" s="70"/>
      <c r="AC31" s="70"/>
      <c r="AD31" s="70"/>
      <c r="AE31" s="70"/>
      <c r="AF31" s="70"/>
      <c r="AG31" s="65"/>
      <c r="AH31" s="70"/>
      <c r="AI31" s="70"/>
      <c r="AJ31" s="71"/>
      <c r="AL31" s="3" t="s">
        <v>20</v>
      </c>
      <c r="AM31" s="30">
        <f>Mtoe!O31</f>
        <v>1</v>
      </c>
      <c r="AN31" s="30">
        <f>Mtoe!P31</f>
        <v>1</v>
      </c>
      <c r="AO31" s="30">
        <f>Mtoe!Q31</f>
        <v>1</v>
      </c>
      <c r="AP31" s="30">
        <f>Mtoe!R31</f>
        <v>1</v>
      </c>
      <c r="AQ31" s="30">
        <f>Mtoe!S31</f>
        <v>1</v>
      </c>
      <c r="AR31" s="30">
        <f>Mtoe!T31</f>
        <v>1</v>
      </c>
      <c r="AS31" s="30">
        <f>Mtoe!U31</f>
        <v>1</v>
      </c>
      <c r="AT31" s="30">
        <f>Mtoe!V31</f>
        <v>1</v>
      </c>
      <c r="AU31" s="30">
        <f>Mtoe!W31</f>
        <v>1</v>
      </c>
      <c r="AV31" s="30">
        <f>Mtoe!X31</f>
        <v>1</v>
      </c>
      <c r="AW31" s="39"/>
      <c r="AX31" s="3" t="s">
        <v>20</v>
      </c>
      <c r="AY31" s="209"/>
      <c r="AZ31" s="209"/>
      <c r="BA31" s="209"/>
      <c r="BB31" s="209"/>
      <c r="BC31" s="209"/>
      <c r="BD31" s="209"/>
      <c r="BE31" s="209"/>
      <c r="BF31" s="209"/>
      <c r="BG31" s="209"/>
      <c r="BH31" s="209"/>
      <c r="BI31" s="215"/>
      <c r="BJ31" s="33"/>
      <c r="BK31" s="114" t="s">
        <v>20</v>
      </c>
      <c r="BL31" s="157">
        <f t="shared" si="3"/>
        <v>0</v>
      </c>
      <c r="BM31" s="157">
        <f t="shared" si="3"/>
        <v>0</v>
      </c>
      <c r="BN31" s="157">
        <f t="shared" si="4"/>
        <v>0</v>
      </c>
      <c r="BO31" s="157"/>
      <c r="BP31" s="157"/>
      <c r="BQ31" s="157"/>
      <c r="BR31" s="157"/>
      <c r="BS31" s="157">
        <f t="shared" si="4"/>
        <v>0</v>
      </c>
      <c r="BT31" s="157">
        <f>BG31*BT$6</f>
        <v>0</v>
      </c>
      <c r="BU31" s="157" t="e">
        <f>BH31*BU$7</f>
        <v>#DIV/0!</v>
      </c>
      <c r="BV31" s="158" t="e">
        <f t="shared" si="9"/>
        <v>#DIV/0!</v>
      </c>
      <c r="BW31" s="4" t="e">
        <f t="shared" si="5"/>
        <v>#DIV/0!</v>
      </c>
      <c r="BX31" s="4" t="s">
        <v>110</v>
      </c>
      <c r="BY31" s="4">
        <v>2.1084452622185825</v>
      </c>
      <c r="BZ31" t="s">
        <v>110</v>
      </c>
      <c r="CA31" s="187" t="e">
        <f>-SUM(BT30:BU31)*100/BW16</f>
        <v>#DIV/0!</v>
      </c>
      <c r="CB31" s="187" t="e">
        <f>-SUM(BT30:BU31)*100/BY16</f>
        <v>#DIV/0!</v>
      </c>
    </row>
    <row r="32" spans="1:78" ht="15.75" thickBot="1">
      <c r="A32" s="3"/>
      <c r="B32" s="88"/>
      <c r="C32" s="87"/>
      <c r="D32" s="87"/>
      <c r="E32" s="118"/>
      <c r="F32" s="118"/>
      <c r="G32" s="118"/>
      <c r="H32" s="118"/>
      <c r="I32" s="87"/>
      <c r="J32" s="267"/>
      <c r="K32" s="367"/>
      <c r="L32" s="119"/>
      <c r="M32" s="88"/>
      <c r="N32" s="87"/>
      <c r="O32" s="87"/>
      <c r="P32" s="87"/>
      <c r="Q32" s="118"/>
      <c r="R32" s="118"/>
      <c r="S32" s="118"/>
      <c r="T32" s="118"/>
      <c r="U32" s="87"/>
      <c r="V32" s="367"/>
      <c r="W32" s="367"/>
      <c r="X32" s="119"/>
      <c r="Z32" s="366"/>
      <c r="AA32" s="366"/>
      <c r="AB32" s="366"/>
      <c r="AC32" s="135"/>
      <c r="AD32" s="135"/>
      <c r="AE32" s="135"/>
      <c r="AF32" s="135"/>
      <c r="AG32" s="135"/>
      <c r="AH32" s="135"/>
      <c r="AI32" s="135"/>
      <c r="AJ32" s="119"/>
      <c r="AL32" s="12" t="s">
        <v>96</v>
      </c>
      <c r="AM32" s="53"/>
      <c r="AN32" s="53"/>
      <c r="AO32" s="53"/>
      <c r="AP32" s="53"/>
      <c r="AQ32" s="53"/>
      <c r="AR32" s="53"/>
      <c r="AS32" s="53"/>
      <c r="AT32" s="53"/>
      <c r="AU32" s="53"/>
      <c r="AV32" s="54"/>
      <c r="AW32" s="39"/>
      <c r="AX32" s="116" t="s">
        <v>78</v>
      </c>
      <c r="AY32" s="217">
        <f>AY18+SUM(AY20:AY31)</f>
        <v>282.36988281249995</v>
      </c>
      <c r="AZ32" s="128">
        <f aca="true" t="shared" si="10" ref="AZ32:BI32">AZ18+SUM(AZ20:AZ31)</f>
        <v>2.7959999999999856</v>
      </c>
      <c r="BA32" s="128">
        <f t="shared" si="10"/>
        <v>10.933333333333334</v>
      </c>
      <c r="BB32" s="128">
        <f t="shared" si="10"/>
        <v>0</v>
      </c>
      <c r="BC32" s="128">
        <f>BC18+SUM(BC20:BC31)</f>
        <v>0</v>
      </c>
      <c r="BD32" s="128">
        <f>BD18+SUM(BD20:BD31)</f>
        <v>0</v>
      </c>
      <c r="BE32" s="128">
        <f>BE18+SUM(BE20:BE31)</f>
        <v>0</v>
      </c>
      <c r="BF32" s="128">
        <f t="shared" si="10"/>
        <v>244.9457142857143</v>
      </c>
      <c r="BG32" s="128">
        <f t="shared" si="10"/>
        <v>-5553.614</v>
      </c>
      <c r="BH32" s="128">
        <f t="shared" si="10"/>
        <v>0</v>
      </c>
      <c r="BI32" s="216">
        <f t="shared" si="10"/>
        <v>-5012.569069568451</v>
      </c>
      <c r="BJ32" s="33"/>
      <c r="BK32" s="116" t="s">
        <v>78</v>
      </c>
      <c r="BL32" s="159">
        <f>BL19+SUM(BL20:BL31)</f>
        <v>10929.340270195311</v>
      </c>
      <c r="BM32" s="149">
        <f aca="true" t="shared" si="11" ref="BM32:BS32">BM19+SUM(BM20:BM31)</f>
        <v>0.1250788000000007</v>
      </c>
      <c r="BN32" s="149">
        <f t="shared" si="11"/>
        <v>1255.5923660499998</v>
      </c>
      <c r="BO32" s="149">
        <f t="shared" si="11"/>
        <v>0</v>
      </c>
      <c r="BP32" s="149">
        <f t="shared" si="11"/>
        <v>0</v>
      </c>
      <c r="BQ32" s="149">
        <f t="shared" si="11"/>
        <v>0</v>
      </c>
      <c r="BR32" s="149">
        <f t="shared" si="11"/>
        <v>0</v>
      </c>
      <c r="BS32" s="149">
        <f t="shared" si="11"/>
        <v>17365.24558085714</v>
      </c>
      <c r="BT32" s="149" t="e">
        <f>BT19+SUM(BT20:BT31)</f>
        <v>#DIV/0!</v>
      </c>
      <c r="BU32" s="149" t="e">
        <f>BU19+SUM(BU20:BU31)</f>
        <v>#DIV/0!</v>
      </c>
      <c r="BV32" s="150" t="e">
        <f>BV19+SUM(BV20:BV31)</f>
        <v>#DIV/0!</v>
      </c>
      <c r="BW32" s="190"/>
      <c r="BX32" s="191"/>
      <c r="BY32" s="191"/>
      <c r="BZ32" s="124"/>
    </row>
    <row r="33" spans="1:80" ht="15.75" thickBot="1">
      <c r="A33" s="66" t="s">
        <v>21</v>
      </c>
      <c r="B33" s="368"/>
      <c r="C33" s="368"/>
      <c r="D33" s="368"/>
      <c r="E33" s="67"/>
      <c r="F33" s="67"/>
      <c r="G33" s="67"/>
      <c r="H33" s="67"/>
      <c r="I33" s="368"/>
      <c r="J33" s="369"/>
      <c r="K33" s="67"/>
      <c r="L33" s="68"/>
      <c r="M33" s="38"/>
      <c r="N33" s="370"/>
      <c r="O33" s="368"/>
      <c r="P33" s="368"/>
      <c r="Q33" s="67"/>
      <c r="R33" s="67"/>
      <c r="S33" s="67"/>
      <c r="T33" s="67"/>
      <c r="U33" s="368"/>
      <c r="V33" s="67"/>
      <c r="W33" s="67"/>
      <c r="X33" s="68"/>
      <c r="Y33" s="38"/>
      <c r="Z33" s="67"/>
      <c r="AA33" s="67"/>
      <c r="AB33" s="67"/>
      <c r="AC33" s="67"/>
      <c r="AD33" s="67"/>
      <c r="AE33" s="67"/>
      <c r="AF33" s="67"/>
      <c r="AG33" s="67"/>
      <c r="AH33" s="67"/>
      <c r="AI33" s="67"/>
      <c r="AJ33" s="68"/>
      <c r="AK33" s="38"/>
      <c r="AL33" s="12" t="s">
        <v>97</v>
      </c>
      <c r="AM33" s="13"/>
      <c r="AN33" s="13"/>
      <c r="AO33" s="13"/>
      <c r="AP33" s="13"/>
      <c r="AQ33" s="13"/>
      <c r="AR33" s="13"/>
      <c r="AS33" s="13"/>
      <c r="AT33" s="13"/>
      <c r="AU33" s="13"/>
      <c r="AV33" s="13"/>
      <c r="AW33" s="37"/>
      <c r="AX33" s="12" t="s">
        <v>76</v>
      </c>
      <c r="AY33" s="128">
        <f aca="true" t="shared" si="12" ref="AY33:BI33">AY34+AY48+AY57+AY63</f>
        <v>2832.93984375</v>
      </c>
      <c r="AZ33" s="128">
        <f t="shared" si="12"/>
        <v>0.04</v>
      </c>
      <c r="BA33" s="128">
        <f t="shared" si="12"/>
        <v>401.53642857142853</v>
      </c>
      <c r="BB33" s="128">
        <f t="shared" si="12"/>
        <v>0</v>
      </c>
      <c r="BC33" s="128">
        <f t="shared" si="12"/>
        <v>0</v>
      </c>
      <c r="BD33" s="128">
        <f t="shared" si="12"/>
        <v>0</v>
      </c>
      <c r="BE33" s="128">
        <f t="shared" si="12"/>
        <v>0</v>
      </c>
      <c r="BF33" s="128">
        <f t="shared" si="12"/>
        <v>3623.814285714286</v>
      </c>
      <c r="BG33" s="128">
        <f t="shared" si="12"/>
        <v>0</v>
      </c>
      <c r="BH33" s="128">
        <f t="shared" si="12"/>
        <v>0</v>
      </c>
      <c r="BI33" s="131">
        <f t="shared" si="12"/>
        <v>6858.330558035714</v>
      </c>
      <c r="BJ33" s="38"/>
      <c r="BK33" s="12" t="s">
        <v>76</v>
      </c>
      <c r="BL33" s="149">
        <f aca="true" t="shared" si="13" ref="BL33:BV33">BL34+BL48+BL57+BL63</f>
        <v>10929.340270195311</v>
      </c>
      <c r="BM33" s="149">
        <f t="shared" si="13"/>
        <v>0.1250788</v>
      </c>
      <c r="BN33" s="149">
        <f t="shared" si="13"/>
        <v>1255.5923660499998</v>
      </c>
      <c r="BO33" s="149">
        <f t="shared" si="13"/>
        <v>0</v>
      </c>
      <c r="BP33" s="149">
        <f t="shared" si="13"/>
        <v>0</v>
      </c>
      <c r="BQ33" s="149">
        <f t="shared" si="13"/>
        <v>0</v>
      </c>
      <c r="BR33" s="149">
        <f t="shared" si="13"/>
        <v>0</v>
      </c>
      <c r="BS33" s="149">
        <f t="shared" si="13"/>
        <v>17365.24558085714</v>
      </c>
      <c r="BT33" s="149" t="e">
        <f t="shared" si="13"/>
        <v>#DIV/0!</v>
      </c>
      <c r="BU33" s="149" t="e">
        <f t="shared" si="13"/>
        <v>#DIV/0!</v>
      </c>
      <c r="BV33" s="150" t="e">
        <f t="shared" si="13"/>
        <v>#DIV/0!</v>
      </c>
      <c r="BW33" s="192"/>
      <c r="BX33" s="193"/>
      <c r="BY33" s="194"/>
      <c r="BZ33" s="183"/>
      <c r="CA33" s="14"/>
      <c r="CB33" s="14"/>
    </row>
    <row r="34" spans="1:78" ht="12.75">
      <c r="A34" s="71" t="s">
        <v>22</v>
      </c>
      <c r="B34" s="65"/>
      <c r="C34" s="65"/>
      <c r="D34" s="65"/>
      <c r="E34" s="72"/>
      <c r="F34" s="72"/>
      <c r="G34" s="72"/>
      <c r="H34" s="72"/>
      <c r="I34" s="65"/>
      <c r="J34" s="252"/>
      <c r="K34" s="72"/>
      <c r="L34" s="71"/>
      <c r="N34" s="65"/>
      <c r="O34" s="65"/>
      <c r="P34" s="65"/>
      <c r="Q34" s="72"/>
      <c r="R34" s="72"/>
      <c r="S34" s="72"/>
      <c r="T34" s="72"/>
      <c r="U34" s="65"/>
      <c r="V34" s="72"/>
      <c r="W34" s="72"/>
      <c r="X34" s="71"/>
      <c r="Z34" s="72"/>
      <c r="AA34" s="72"/>
      <c r="AB34" s="72"/>
      <c r="AC34" s="72"/>
      <c r="AD34" s="72"/>
      <c r="AE34" s="72"/>
      <c r="AF34" s="72"/>
      <c r="AG34" s="72"/>
      <c r="AH34" s="72"/>
      <c r="AI34" s="72"/>
      <c r="AJ34" s="71"/>
      <c r="AL34" s="5" t="s">
        <v>22</v>
      </c>
      <c r="AM34" s="15"/>
      <c r="AN34" s="15"/>
      <c r="AO34" s="15"/>
      <c r="AP34" s="15"/>
      <c r="AQ34" s="15"/>
      <c r="AR34" s="15"/>
      <c r="AS34" s="15"/>
      <c r="AT34" s="15"/>
      <c r="AU34" s="15"/>
      <c r="AV34" s="15"/>
      <c r="AW34" s="40"/>
      <c r="AX34" s="5" t="s">
        <v>22</v>
      </c>
      <c r="AY34" s="218">
        <f>SUM(AY35:AY47)</f>
        <v>1335.15859375</v>
      </c>
      <c r="AZ34" s="218">
        <f>SUM(AZ35:AZ47)</f>
        <v>0.04</v>
      </c>
      <c r="BA34" s="218">
        <f aca="true" t="shared" si="14" ref="BA34:BI34">SUM(BA35:BA47)</f>
        <v>142.68</v>
      </c>
      <c r="BB34" s="218">
        <f t="shared" si="14"/>
        <v>0</v>
      </c>
      <c r="BC34" s="218">
        <f t="shared" si="14"/>
        <v>0</v>
      </c>
      <c r="BD34" s="218">
        <f t="shared" si="14"/>
        <v>0</v>
      </c>
      <c r="BE34" s="218">
        <f t="shared" si="14"/>
        <v>0</v>
      </c>
      <c r="BF34" s="218">
        <f t="shared" si="14"/>
        <v>461.83571428571423</v>
      </c>
      <c r="BG34" s="218">
        <f t="shared" si="14"/>
        <v>0</v>
      </c>
      <c r="BH34" s="218">
        <f t="shared" si="14"/>
        <v>0</v>
      </c>
      <c r="BI34" s="215">
        <f t="shared" si="14"/>
        <v>1939.7143080357143</v>
      </c>
      <c r="BJ34" s="33"/>
      <c r="BK34" s="109" t="s">
        <v>22</v>
      </c>
      <c r="BL34" s="160">
        <f aca="true" t="shared" si="15" ref="BL34:BV34">SUM(BL35:BL47)</f>
        <v>5150.975096757811</v>
      </c>
      <c r="BM34" s="160">
        <f t="shared" si="15"/>
        <v>0.1250788</v>
      </c>
      <c r="BN34" s="160">
        <f t="shared" si="15"/>
        <v>446.15607959999994</v>
      </c>
      <c r="BO34" s="160">
        <f t="shared" si="15"/>
        <v>0</v>
      </c>
      <c r="BP34" s="160">
        <f t="shared" si="15"/>
        <v>0</v>
      </c>
      <c r="BQ34" s="160">
        <f t="shared" si="15"/>
        <v>0</v>
      </c>
      <c r="BR34" s="160">
        <f t="shared" si="15"/>
        <v>0</v>
      </c>
      <c r="BS34" s="160">
        <f t="shared" si="15"/>
        <v>2213.1075061428564</v>
      </c>
      <c r="BT34" s="160" t="e">
        <f t="shared" si="15"/>
        <v>#DIV/0!</v>
      </c>
      <c r="BU34" s="160" t="e">
        <f t="shared" si="15"/>
        <v>#DIV/0!</v>
      </c>
      <c r="BV34" s="158" t="e">
        <f t="shared" si="15"/>
        <v>#DIV/0!</v>
      </c>
      <c r="BW34" s="15" t="e">
        <f aca="true" t="shared" si="16" ref="BW34:BW67">100*BV34/BV$19</f>
        <v>#DIV/0!</v>
      </c>
      <c r="BX34" s="4" t="s">
        <v>110</v>
      </c>
      <c r="BY34" s="4">
        <v>21.094330710907403</v>
      </c>
      <c r="BZ34" t="s">
        <v>110</v>
      </c>
    </row>
    <row r="35" spans="1:78" ht="12.75">
      <c r="A35" s="64" t="s">
        <v>23</v>
      </c>
      <c r="B35" s="65">
        <f>($C$4/B$4)*Mtoe!B35*(B86*(100-B136)/10)</f>
        <v>108.00937499999999</v>
      </c>
      <c r="C35" s="65"/>
      <c r="D35" s="65">
        <f>($C$4/D$4)*Mtoe!D35*(D86*(100-D136)/10)</f>
        <v>4.7247619047619045</v>
      </c>
      <c r="E35" s="65"/>
      <c r="F35" s="65"/>
      <c r="G35" s="65"/>
      <c r="H35" s="65"/>
      <c r="I35" s="65">
        <f>($C$4/I$4)*Mtoe!I35*(I86*(100-I136)/10)</f>
        <v>3.514285714285714</v>
      </c>
      <c r="J35" s="252"/>
      <c r="K35" s="65"/>
      <c r="L35" s="71"/>
      <c r="N35" s="65">
        <f>($C$4/B$4)*Mtoe!B35*((130/32)*(N86*(100-N136)/10))</f>
        <v>1645.4553222656248</v>
      </c>
      <c r="O35" s="65"/>
      <c r="P35" s="65">
        <f>($C$4/D$4)*Mtoe!D35*((130/32)*(P86*(100-P136)/10))</f>
        <v>119.96465773809523</v>
      </c>
      <c r="Q35" s="65"/>
      <c r="R35" s="65"/>
      <c r="S35" s="65"/>
      <c r="T35" s="65"/>
      <c r="U35" s="65">
        <f>($C$4/I$4)*Mtoe!I35*((130/32)*(U86*(100-U136)/10))</f>
        <v>0.9517857142857142</v>
      </c>
      <c r="V35" s="65"/>
      <c r="W35" s="65"/>
      <c r="X35" s="71"/>
      <c r="Z35" s="65"/>
      <c r="AA35" s="65"/>
      <c r="AB35" s="65"/>
      <c r="AC35" s="65"/>
      <c r="AD35" s="65"/>
      <c r="AE35" s="65"/>
      <c r="AF35" s="65"/>
      <c r="AG35" s="65"/>
      <c r="AH35" s="65"/>
      <c r="AI35" s="65"/>
      <c r="AJ35" s="71"/>
      <c r="AL35" s="3" t="s">
        <v>23</v>
      </c>
      <c r="AM35" s="30">
        <f>Mtoe!O35</f>
        <v>1</v>
      </c>
      <c r="AN35" s="30">
        <f>Mtoe!P35</f>
        <v>1</v>
      </c>
      <c r="AO35" s="30">
        <f>Mtoe!Q35</f>
        <v>1</v>
      </c>
      <c r="AP35" s="30">
        <f>Mtoe!R35</f>
        <v>1</v>
      </c>
      <c r="AQ35" s="30">
        <f>Mtoe!S35</f>
        <v>1</v>
      </c>
      <c r="AR35" s="30">
        <f>Mtoe!T35</f>
        <v>1</v>
      </c>
      <c r="AS35" s="30">
        <f>Mtoe!U35</f>
        <v>1</v>
      </c>
      <c r="AT35" s="30">
        <f>Mtoe!V35</f>
        <v>1</v>
      </c>
      <c r="AU35" s="30">
        <f>Mtoe!W35</f>
        <v>1</v>
      </c>
      <c r="AV35" s="30">
        <f>Mtoe!X35</f>
        <v>1</v>
      </c>
      <c r="AW35" s="36"/>
      <c r="AX35" s="3" t="s">
        <v>23</v>
      </c>
      <c r="AY35" s="209">
        <f aca="true" t="shared" si="17" ref="AY35:AY47">AM35*B35</f>
        <v>108.00937499999999</v>
      </c>
      <c r="AZ35" s="209"/>
      <c r="BA35" s="209">
        <f aca="true" t="shared" si="18" ref="BA35:BA47">AO35*D35</f>
        <v>4.7247619047619045</v>
      </c>
      <c r="BB35" s="209">
        <f aca="true" t="shared" si="19" ref="BB35:BB47">AP35*E35</f>
        <v>0</v>
      </c>
      <c r="BC35" s="209"/>
      <c r="BD35" s="209"/>
      <c r="BE35" s="209"/>
      <c r="BF35" s="209"/>
      <c r="BG35" s="209">
        <f aca="true" t="shared" si="20" ref="BG35:BG47">AU35*J35</f>
        <v>0</v>
      </c>
      <c r="BH35" s="209">
        <f aca="true" t="shared" si="21" ref="BH35:BH47">AV35*K35</f>
        <v>0</v>
      </c>
      <c r="BI35" s="215">
        <f t="shared" si="8"/>
        <v>112.7341369047619</v>
      </c>
      <c r="BJ35" s="33"/>
      <c r="BK35" s="110" t="s">
        <v>23</v>
      </c>
      <c r="BL35" s="157">
        <f aca="true" t="shared" si="22" ref="BL35:BS49">AY35*BL$6</f>
        <v>416.69476828124994</v>
      </c>
      <c r="BM35" s="157">
        <f t="shared" si="22"/>
        <v>0</v>
      </c>
      <c r="BN35" s="157">
        <f t="shared" si="22"/>
        <v>14.77418873333333</v>
      </c>
      <c r="BO35" s="157">
        <f t="shared" si="22"/>
        <v>0</v>
      </c>
      <c r="BP35" s="157"/>
      <c r="BQ35" s="157"/>
      <c r="BR35" s="157"/>
      <c r="BS35" s="157">
        <f t="shared" si="22"/>
        <v>0</v>
      </c>
      <c r="BT35" s="157" t="e">
        <f>BT$32*BG35/BG$32</f>
        <v>#DIV/0!</v>
      </c>
      <c r="BU35" s="157" t="e">
        <f>BU$32*BH35/BH$32</f>
        <v>#DIV/0!</v>
      </c>
      <c r="BV35" s="158" t="e">
        <f aca="true" t="shared" si="23" ref="BV35:BV47">SUM(BL35:BU35)</f>
        <v>#DIV/0!</v>
      </c>
      <c r="BW35" s="4" t="e">
        <f t="shared" si="16"/>
        <v>#DIV/0!</v>
      </c>
      <c r="BX35" s="4" t="s">
        <v>110</v>
      </c>
      <c r="BY35" s="4">
        <v>3.0473360039843156</v>
      </c>
      <c r="BZ35" t="s">
        <v>110</v>
      </c>
    </row>
    <row r="36" spans="1:78" ht="12.75">
      <c r="A36" s="64" t="s">
        <v>24</v>
      </c>
      <c r="B36" s="65">
        <f>($C$4/B$4)*Mtoe!B36*(B87*(100-B137)/10)</f>
        <v>255.609375</v>
      </c>
      <c r="C36" s="65">
        <f>($C$4/C$4)*Mtoe!C36*(C87*(100-C137)/10)</f>
        <v>0.04</v>
      </c>
      <c r="D36" s="65">
        <f>($C$4/D$4)*Mtoe!D36*(D87*(100-D137)/10)</f>
        <v>34.55714285714286</v>
      </c>
      <c r="E36" s="65"/>
      <c r="F36" s="65"/>
      <c r="G36" s="65"/>
      <c r="H36" s="65"/>
      <c r="I36" s="65">
        <f>($C$4/I$4)*Mtoe!I36*(I87*(100-I137)/10)</f>
        <v>43.05</v>
      </c>
      <c r="J36" s="252"/>
      <c r="K36" s="65"/>
      <c r="L36" s="71"/>
      <c r="N36" s="65">
        <f>($C$4/B$4)*Mtoe!B36*((130/32)*(N87*(100-N137)/10))</f>
        <v>163.17919921875003</v>
      </c>
      <c r="O36" s="65">
        <f>($C$4/C$4)*Mtoe!C36*((130/32)*(O87*(100-O137)/10))</f>
        <v>1.015625</v>
      </c>
      <c r="P36" s="65">
        <f>($C$4/D$4)*Mtoe!D36*((130/32)*(P87*(100-P137)/10))</f>
        <v>877.4274553571429</v>
      </c>
      <c r="Q36" s="65"/>
      <c r="R36" s="65"/>
      <c r="S36" s="65"/>
      <c r="T36" s="65"/>
      <c r="U36" s="65">
        <f>($C$4/I$4)*Mtoe!I36*((130/32)*(U87*(100-U137)/10))</f>
        <v>11.659374999999999</v>
      </c>
      <c r="V36" s="65"/>
      <c r="W36" s="65"/>
      <c r="X36" s="71"/>
      <c r="Z36" s="65"/>
      <c r="AA36" s="65"/>
      <c r="AB36" s="65"/>
      <c r="AC36" s="65"/>
      <c r="AD36" s="65"/>
      <c r="AE36" s="65"/>
      <c r="AF36" s="65"/>
      <c r="AG36" s="65"/>
      <c r="AH36" s="65"/>
      <c r="AI36" s="65"/>
      <c r="AJ36" s="71"/>
      <c r="AL36" s="3" t="s">
        <v>24</v>
      </c>
      <c r="AM36" s="30">
        <f>Mtoe!O36</f>
        <v>1</v>
      </c>
      <c r="AN36" s="30">
        <f>Mtoe!P36</f>
        <v>1</v>
      </c>
      <c r="AO36" s="30">
        <f>Mtoe!Q36</f>
        <v>1</v>
      </c>
      <c r="AP36" s="30">
        <f>Mtoe!R36</f>
        <v>1</v>
      </c>
      <c r="AQ36" s="30">
        <f>Mtoe!S36</f>
        <v>1</v>
      </c>
      <c r="AR36" s="30">
        <f>Mtoe!T36</f>
        <v>1</v>
      </c>
      <c r="AS36" s="30">
        <f>Mtoe!U36</f>
        <v>1</v>
      </c>
      <c r="AT36" s="30">
        <f>Mtoe!V36</f>
        <v>1</v>
      </c>
      <c r="AU36" s="30">
        <f>Mtoe!W36</f>
        <v>1</v>
      </c>
      <c r="AV36" s="30">
        <f>Mtoe!X36</f>
        <v>1</v>
      </c>
      <c r="AW36" s="36"/>
      <c r="AX36" s="3" t="s">
        <v>24</v>
      </c>
      <c r="AY36" s="209">
        <f t="shared" si="17"/>
        <v>255.609375</v>
      </c>
      <c r="AZ36" s="209">
        <f>AN36*C36</f>
        <v>0.04</v>
      </c>
      <c r="BA36" s="209">
        <f t="shared" si="18"/>
        <v>34.55714285714286</v>
      </c>
      <c r="BB36" s="209">
        <f t="shared" si="19"/>
        <v>0</v>
      </c>
      <c r="BC36" s="209"/>
      <c r="BD36" s="209"/>
      <c r="BE36" s="209"/>
      <c r="BF36" s="209">
        <f>AT36*I36</f>
        <v>43.05</v>
      </c>
      <c r="BG36" s="209">
        <f t="shared" si="20"/>
        <v>0</v>
      </c>
      <c r="BH36" s="209">
        <f t="shared" si="21"/>
        <v>0</v>
      </c>
      <c r="BI36" s="215">
        <f t="shared" si="8"/>
        <v>333.25651785714285</v>
      </c>
      <c r="BJ36" s="33"/>
      <c r="BK36" s="110" t="s">
        <v>24</v>
      </c>
      <c r="BL36" s="157">
        <f t="shared" si="22"/>
        <v>986.1281882812499</v>
      </c>
      <c r="BM36" s="157">
        <f t="shared" si="22"/>
        <v>0.1250788</v>
      </c>
      <c r="BN36" s="157">
        <f t="shared" si="22"/>
        <v>108.05914899999999</v>
      </c>
      <c r="BO36" s="157">
        <f t="shared" si="22"/>
        <v>0</v>
      </c>
      <c r="BP36" s="157"/>
      <c r="BQ36" s="157"/>
      <c r="BR36" s="157"/>
      <c r="BS36" s="157">
        <f t="shared" si="22"/>
        <v>206.29473899999996</v>
      </c>
      <c r="BT36" s="157" t="e">
        <f aca="true" t="shared" si="24" ref="BT36:BU47">BT$32*BG36/BG$32</f>
        <v>#DIV/0!</v>
      </c>
      <c r="BU36" s="157" t="e">
        <f t="shared" si="24"/>
        <v>#DIV/0!</v>
      </c>
      <c r="BV36" s="158" t="e">
        <f t="shared" si="23"/>
        <v>#DIV/0!</v>
      </c>
      <c r="BW36" s="4" t="e">
        <f t="shared" si="16"/>
        <v>#DIV/0!</v>
      </c>
      <c r="BX36" s="4" t="s">
        <v>110</v>
      </c>
      <c r="BY36" s="4">
        <v>3.524979961153192</v>
      </c>
      <c r="BZ36" t="s">
        <v>110</v>
      </c>
    </row>
    <row r="37" spans="1:78" ht="12.75">
      <c r="A37" s="64" t="s">
        <v>25</v>
      </c>
      <c r="B37" s="65">
        <f>($C$4/B$4)*Mtoe!B37*(B88*(100-B138)/10)</f>
        <v>72.87109375</v>
      </c>
      <c r="C37" s="65"/>
      <c r="D37" s="65">
        <f>($C$4/D$4)*Mtoe!D37*(D88*(100-D138)/10)</f>
        <v>4.217142857142857</v>
      </c>
      <c r="E37" s="65"/>
      <c r="F37" s="65"/>
      <c r="G37" s="65"/>
      <c r="H37" s="65"/>
      <c r="I37" s="65">
        <f>($C$4/I$4)*Mtoe!I37*(I88*(100-I138)/10)</f>
        <v>2.6357142857142852</v>
      </c>
      <c r="J37" s="252"/>
      <c r="K37" s="65"/>
      <c r="L37" s="71"/>
      <c r="N37" s="65">
        <f>($C$4/B$4)*Mtoe!B37*((130/32)*(N88*(100-N138)/10))</f>
        <v>46.52038574218751</v>
      </c>
      <c r="O37" s="65"/>
      <c r="P37" s="65">
        <f>($C$4/D$4)*Mtoe!D37*((130/32)*(P88*(100-P138)/10))</f>
        <v>107.07589285714286</v>
      </c>
      <c r="Q37" s="65"/>
      <c r="R37" s="65"/>
      <c r="S37" s="65"/>
      <c r="T37" s="65"/>
      <c r="U37" s="65">
        <f>($C$4/I$4)*Mtoe!I37*((130/32)*(U88*(100-U138)/10))</f>
        <v>0.7138392857142856</v>
      </c>
      <c r="V37" s="65"/>
      <c r="W37" s="65"/>
      <c r="X37" s="71"/>
      <c r="Z37" s="65"/>
      <c r="AA37" s="65"/>
      <c r="AB37" s="65"/>
      <c r="AC37" s="65"/>
      <c r="AD37" s="65"/>
      <c r="AE37" s="65"/>
      <c r="AF37" s="65"/>
      <c r="AG37" s="65"/>
      <c r="AH37" s="65"/>
      <c r="AI37" s="65"/>
      <c r="AJ37" s="71"/>
      <c r="AL37" s="3" t="s">
        <v>25</v>
      </c>
      <c r="AM37" s="30">
        <f>Mtoe!O37</f>
        <v>1</v>
      </c>
      <c r="AN37" s="30">
        <f>Mtoe!P37</f>
        <v>1</v>
      </c>
      <c r="AO37" s="30">
        <f>Mtoe!Q37</f>
        <v>1</v>
      </c>
      <c r="AP37" s="30">
        <f>Mtoe!R37</f>
        <v>1</v>
      </c>
      <c r="AQ37" s="30">
        <f>Mtoe!S37</f>
        <v>1</v>
      </c>
      <c r="AR37" s="30">
        <f>Mtoe!T37</f>
        <v>1</v>
      </c>
      <c r="AS37" s="30">
        <f>Mtoe!U37</f>
        <v>1</v>
      </c>
      <c r="AT37" s="30">
        <f>Mtoe!V37</f>
        <v>1</v>
      </c>
      <c r="AU37" s="30">
        <f>Mtoe!W37</f>
        <v>1</v>
      </c>
      <c r="AV37" s="30">
        <f>Mtoe!X37</f>
        <v>1</v>
      </c>
      <c r="AW37" s="36"/>
      <c r="AX37" s="3" t="s">
        <v>25</v>
      </c>
      <c r="AY37" s="209">
        <f t="shared" si="17"/>
        <v>72.87109375</v>
      </c>
      <c r="AZ37" s="209"/>
      <c r="BA37" s="209">
        <f t="shared" si="18"/>
        <v>4.217142857142857</v>
      </c>
      <c r="BB37" s="209">
        <f t="shared" si="19"/>
        <v>0</v>
      </c>
      <c r="BC37" s="209"/>
      <c r="BD37" s="209"/>
      <c r="BE37" s="209"/>
      <c r="BF37" s="209"/>
      <c r="BG37" s="209">
        <f t="shared" si="20"/>
        <v>0</v>
      </c>
      <c r="BH37" s="209">
        <f t="shared" si="21"/>
        <v>0</v>
      </c>
      <c r="BI37" s="215">
        <f t="shared" si="8"/>
        <v>77.08823660714286</v>
      </c>
      <c r="BJ37" s="33"/>
      <c r="BK37" s="110" t="s">
        <v>25</v>
      </c>
      <c r="BL37" s="157">
        <f t="shared" si="22"/>
        <v>281.1330361328125</v>
      </c>
      <c r="BM37" s="157">
        <f t="shared" si="22"/>
        <v>0</v>
      </c>
      <c r="BN37" s="157">
        <f t="shared" si="22"/>
        <v>13.186879199999998</v>
      </c>
      <c r="BO37" s="157">
        <f t="shared" si="22"/>
        <v>0</v>
      </c>
      <c r="BP37" s="157"/>
      <c r="BQ37" s="157"/>
      <c r="BR37" s="157"/>
      <c r="BS37" s="157">
        <f t="shared" si="22"/>
        <v>0</v>
      </c>
      <c r="BT37" s="157" t="e">
        <f t="shared" si="24"/>
        <v>#DIV/0!</v>
      </c>
      <c r="BU37" s="157" t="e">
        <f t="shared" si="24"/>
        <v>#DIV/0!</v>
      </c>
      <c r="BV37" s="158" t="e">
        <f t="shared" si="23"/>
        <v>#DIV/0!</v>
      </c>
      <c r="BW37" s="4" t="e">
        <f t="shared" si="16"/>
        <v>#DIV/0!</v>
      </c>
      <c r="BX37" s="4" t="s">
        <v>110</v>
      </c>
      <c r="BY37" s="4">
        <v>1.080858284388233</v>
      </c>
      <c r="BZ37" t="s">
        <v>110</v>
      </c>
    </row>
    <row r="38" spans="1:78" ht="12.75">
      <c r="A38" s="64" t="s">
        <v>26</v>
      </c>
      <c r="B38" s="65">
        <f>($C$4/B$4)*Mtoe!B38*(B89*(100-B139)/10)</f>
        <v>149.778125</v>
      </c>
      <c r="C38" s="65"/>
      <c r="D38" s="65">
        <f>($C$4/D$4)*Mtoe!D38*(D89*(100-D139)/10)</f>
        <v>43.06952380952381</v>
      </c>
      <c r="E38" s="65"/>
      <c r="F38" s="65"/>
      <c r="G38" s="65"/>
      <c r="H38" s="65"/>
      <c r="I38" s="65">
        <f>($C$4/I$4)*Mtoe!I38*(I89*(100-I139)/10)</f>
        <v>132.6642857142857</v>
      </c>
      <c r="J38" s="252"/>
      <c r="K38" s="65"/>
      <c r="L38" s="71"/>
      <c r="N38" s="65">
        <f>($C$4/B$4)*Mtoe!B38*((130/32)*(N89*(100-N139)/10))</f>
        <v>478.08642578125</v>
      </c>
      <c r="O38" s="65"/>
      <c r="P38" s="65">
        <f>($C$4/D$4)*Mtoe!D38*((130/32)*(P89*(100-P139)/10))</f>
        <v>1093.5621279761904</v>
      </c>
      <c r="Q38" s="65"/>
      <c r="R38" s="65"/>
      <c r="S38" s="65"/>
      <c r="T38" s="65"/>
      <c r="U38" s="65">
        <f>($C$4/I$4)*Mtoe!I38*((130/32)*(U89*(100-U139)/10))</f>
        <v>35.92991071428571</v>
      </c>
      <c r="V38" s="65"/>
      <c r="W38" s="65"/>
      <c r="X38" s="71"/>
      <c r="Z38" s="65"/>
      <c r="AA38" s="65"/>
      <c r="AB38" s="65"/>
      <c r="AC38" s="65"/>
      <c r="AD38" s="65"/>
      <c r="AE38" s="65"/>
      <c r="AF38" s="65"/>
      <c r="AG38" s="65"/>
      <c r="AH38" s="65"/>
      <c r="AI38" s="65"/>
      <c r="AJ38" s="71"/>
      <c r="AL38" s="3" t="s">
        <v>26</v>
      </c>
      <c r="AM38" s="30">
        <f>Mtoe!O38</f>
        <v>1</v>
      </c>
      <c r="AN38" s="30">
        <f>Mtoe!P38</f>
        <v>1</v>
      </c>
      <c r="AO38" s="30">
        <f>Mtoe!Q38</f>
        <v>1</v>
      </c>
      <c r="AP38" s="30">
        <f>Mtoe!R38</f>
        <v>1</v>
      </c>
      <c r="AQ38" s="30">
        <f>Mtoe!S38</f>
        <v>1</v>
      </c>
      <c r="AR38" s="30">
        <f>Mtoe!T38</f>
        <v>1</v>
      </c>
      <c r="AS38" s="30">
        <f>Mtoe!U38</f>
        <v>1</v>
      </c>
      <c r="AT38" s="30">
        <f>Mtoe!V38</f>
        <v>1</v>
      </c>
      <c r="AU38" s="30">
        <f>Mtoe!W38</f>
        <v>1</v>
      </c>
      <c r="AV38" s="30">
        <f>Mtoe!X38</f>
        <v>1</v>
      </c>
      <c r="AW38" s="36"/>
      <c r="AX38" s="3" t="s">
        <v>26</v>
      </c>
      <c r="AY38" s="209">
        <f t="shared" si="17"/>
        <v>149.778125</v>
      </c>
      <c r="AZ38" s="209"/>
      <c r="BA38" s="209">
        <f t="shared" si="18"/>
        <v>43.06952380952381</v>
      </c>
      <c r="BB38" s="209">
        <f t="shared" si="19"/>
        <v>0</v>
      </c>
      <c r="BC38" s="209"/>
      <c r="BD38" s="209"/>
      <c r="BE38" s="209"/>
      <c r="BF38" s="209">
        <f>AT38*I38</f>
        <v>132.6642857142857</v>
      </c>
      <c r="BG38" s="209">
        <f t="shared" si="20"/>
        <v>0</v>
      </c>
      <c r="BH38" s="209">
        <f t="shared" si="21"/>
        <v>0</v>
      </c>
      <c r="BI38" s="215">
        <f t="shared" si="8"/>
        <v>325.5119345238095</v>
      </c>
      <c r="BJ38" s="33"/>
      <c r="BK38" s="110" t="s">
        <v>26</v>
      </c>
      <c r="BL38" s="157">
        <f t="shared" si="22"/>
        <v>577.83651734375</v>
      </c>
      <c r="BM38" s="157">
        <f t="shared" si="22"/>
        <v>0</v>
      </c>
      <c r="BN38" s="157">
        <f t="shared" si="22"/>
        <v>134.67710886666666</v>
      </c>
      <c r="BO38" s="157">
        <f t="shared" si="22"/>
        <v>0</v>
      </c>
      <c r="BP38" s="157"/>
      <c r="BQ38" s="157"/>
      <c r="BR38" s="157"/>
      <c r="BS38" s="157">
        <f t="shared" si="22"/>
        <v>635.7246038571428</v>
      </c>
      <c r="BT38" s="157" t="e">
        <f t="shared" si="24"/>
        <v>#DIV/0!</v>
      </c>
      <c r="BU38" s="157" t="e">
        <f t="shared" si="24"/>
        <v>#DIV/0!</v>
      </c>
      <c r="BV38" s="158" t="e">
        <f t="shared" si="23"/>
        <v>#DIV/0!</v>
      </c>
      <c r="BW38" s="4" t="e">
        <f t="shared" si="16"/>
        <v>#DIV/0!</v>
      </c>
      <c r="BX38" s="4" t="s">
        <v>110</v>
      </c>
      <c r="BY38" s="4">
        <v>2.743510990340653</v>
      </c>
      <c r="BZ38" t="s">
        <v>110</v>
      </c>
    </row>
    <row r="39" spans="1:78" ht="12.75">
      <c r="A39" s="64" t="s">
        <v>27</v>
      </c>
      <c r="B39" s="65">
        <f>($C$4/B$4)*Mtoe!B39*(B90*(100-B140)/10)</f>
        <v>14.574218750000002</v>
      </c>
      <c r="C39" s="65"/>
      <c r="D39" s="65">
        <f>($C$4/D$4)*Mtoe!D39*(D90*(100-D140)/10)</f>
        <v>2.5771428571428574</v>
      </c>
      <c r="E39" s="65"/>
      <c r="F39" s="65"/>
      <c r="G39" s="65"/>
      <c r="H39" s="65"/>
      <c r="I39" s="65"/>
      <c r="J39" s="252"/>
      <c r="K39" s="65"/>
      <c r="L39" s="71"/>
      <c r="N39" s="65">
        <f>($C$4/B$4)*Mtoe!B39*((130/32)*(N90*(100-N140)/10))</f>
        <v>9.304077148437502</v>
      </c>
      <c r="O39" s="65"/>
      <c r="P39" s="65">
        <f>($C$4/D$4)*Mtoe!D39*((130/32)*(P90*(100-P140)/10))</f>
        <v>65.43526785714286</v>
      </c>
      <c r="Q39" s="65"/>
      <c r="R39" s="65"/>
      <c r="S39" s="65"/>
      <c r="T39" s="65"/>
      <c r="U39" s="65"/>
      <c r="V39" s="65"/>
      <c r="W39" s="65"/>
      <c r="X39" s="71"/>
      <c r="Z39" s="65"/>
      <c r="AA39" s="65"/>
      <c r="AB39" s="65"/>
      <c r="AC39" s="65"/>
      <c r="AD39" s="65"/>
      <c r="AE39" s="65"/>
      <c r="AF39" s="65"/>
      <c r="AG39" s="65"/>
      <c r="AH39" s="65"/>
      <c r="AI39" s="65"/>
      <c r="AJ39" s="71"/>
      <c r="AL39" s="3" t="s">
        <v>27</v>
      </c>
      <c r="AM39" s="30">
        <f>Mtoe!O39</f>
        <v>1</v>
      </c>
      <c r="AN39" s="30">
        <f>Mtoe!P39</f>
        <v>1</v>
      </c>
      <c r="AO39" s="30">
        <f>Mtoe!Q39</f>
        <v>1</v>
      </c>
      <c r="AP39" s="30">
        <f>Mtoe!R39</f>
        <v>1</v>
      </c>
      <c r="AQ39" s="30">
        <f>Mtoe!S39</f>
        <v>1</v>
      </c>
      <c r="AR39" s="30">
        <f>Mtoe!T39</f>
        <v>1</v>
      </c>
      <c r="AS39" s="30">
        <f>Mtoe!U39</f>
        <v>1</v>
      </c>
      <c r="AT39" s="30">
        <f>Mtoe!V39</f>
        <v>1</v>
      </c>
      <c r="AU39" s="30">
        <f>Mtoe!W39</f>
        <v>1</v>
      </c>
      <c r="AV39" s="30">
        <f>Mtoe!X39</f>
        <v>1</v>
      </c>
      <c r="AW39" s="36"/>
      <c r="AX39" s="3" t="s">
        <v>27</v>
      </c>
      <c r="AY39" s="209">
        <f t="shared" si="17"/>
        <v>14.574218750000002</v>
      </c>
      <c r="AZ39" s="209"/>
      <c r="BA39" s="209">
        <f t="shared" si="18"/>
        <v>2.5771428571428574</v>
      </c>
      <c r="BB39" s="209">
        <f t="shared" si="19"/>
        <v>0</v>
      </c>
      <c r="BC39" s="209"/>
      <c r="BD39" s="209"/>
      <c r="BE39" s="209"/>
      <c r="BF39" s="209"/>
      <c r="BG39" s="209">
        <f t="shared" si="20"/>
        <v>0</v>
      </c>
      <c r="BH39" s="209">
        <f t="shared" si="21"/>
        <v>0</v>
      </c>
      <c r="BI39" s="215">
        <f t="shared" si="8"/>
        <v>17.15136160714286</v>
      </c>
      <c r="BJ39" s="33"/>
      <c r="BK39" s="110" t="s">
        <v>27</v>
      </c>
      <c r="BL39" s="157">
        <f t="shared" si="22"/>
        <v>56.22660722656251</v>
      </c>
      <c r="BM39" s="157">
        <f t="shared" si="22"/>
        <v>0</v>
      </c>
      <c r="BN39" s="157">
        <f t="shared" si="22"/>
        <v>8.0586484</v>
      </c>
      <c r="BO39" s="157">
        <f t="shared" si="22"/>
        <v>0</v>
      </c>
      <c r="BP39" s="157"/>
      <c r="BQ39" s="157"/>
      <c r="BR39" s="157"/>
      <c r="BS39" s="157">
        <f t="shared" si="22"/>
        <v>0</v>
      </c>
      <c r="BT39" s="157" t="e">
        <f t="shared" si="24"/>
        <v>#DIV/0!</v>
      </c>
      <c r="BU39" s="157" t="e">
        <f t="shared" si="24"/>
        <v>#DIV/0!</v>
      </c>
      <c r="BV39" s="158" t="e">
        <f t="shared" si="23"/>
        <v>#DIV/0!</v>
      </c>
      <c r="BW39" s="4" t="e">
        <f t="shared" si="16"/>
        <v>#DIV/0!</v>
      </c>
      <c r="BX39" s="4" t="s">
        <v>110</v>
      </c>
      <c r="BY39" s="4">
        <v>0.5629021823454292</v>
      </c>
      <c r="BZ39" t="s">
        <v>110</v>
      </c>
    </row>
    <row r="40" spans="1:78" ht="12.75">
      <c r="A40" s="64" t="s">
        <v>28</v>
      </c>
      <c r="B40" s="65">
        <f>($C$4/B$4)*Mtoe!B40*(B91*(100-B141)/10)</f>
        <v>25.78515625</v>
      </c>
      <c r="C40" s="65"/>
      <c r="D40" s="65">
        <f>($C$4/D$4)*Mtoe!D40*(D91*(100-D141)/10)</f>
        <v>9.332380952380953</v>
      </c>
      <c r="E40" s="65"/>
      <c r="F40" s="65"/>
      <c r="G40" s="65"/>
      <c r="H40" s="65"/>
      <c r="I40" s="65">
        <f>($C$4/I$4)*Mtoe!I40*(I91*(100-I141)/10)</f>
        <v>2.6357142857142852</v>
      </c>
      <c r="J40" s="252"/>
      <c r="K40" s="65"/>
      <c r="L40" s="71"/>
      <c r="N40" s="65">
        <f>($C$4/B$4)*Mtoe!B40*((130/32)*(N91*(100-N141)/10))</f>
        <v>16.461059570312504</v>
      </c>
      <c r="O40" s="65"/>
      <c r="P40" s="65">
        <f>($C$4/D$4)*Mtoe!D40*((130/32)*(P91*(100-P141)/10))</f>
        <v>236.95498511904765</v>
      </c>
      <c r="Q40" s="65"/>
      <c r="R40" s="65"/>
      <c r="S40" s="65"/>
      <c r="T40" s="65"/>
      <c r="U40" s="65">
        <f>($C$4/I$4)*Mtoe!I40*((130/32)*(U91*(100-U141)/10))</f>
        <v>0.7138392857142856</v>
      </c>
      <c r="V40" s="65"/>
      <c r="W40" s="65"/>
      <c r="X40" s="71"/>
      <c r="Z40" s="65"/>
      <c r="AA40" s="65"/>
      <c r="AB40" s="65"/>
      <c r="AC40" s="65"/>
      <c r="AD40" s="65"/>
      <c r="AE40" s="65"/>
      <c r="AF40" s="65"/>
      <c r="AG40" s="65"/>
      <c r="AH40" s="65"/>
      <c r="AI40" s="65"/>
      <c r="AJ40" s="71"/>
      <c r="AL40" s="3" t="s">
        <v>28</v>
      </c>
      <c r="AM40" s="30">
        <f>Mtoe!O40</f>
        <v>1</v>
      </c>
      <c r="AN40" s="30">
        <f>Mtoe!P40</f>
        <v>1</v>
      </c>
      <c r="AO40" s="30">
        <f>Mtoe!Q40</f>
        <v>1</v>
      </c>
      <c r="AP40" s="30">
        <f>Mtoe!R40</f>
        <v>1</v>
      </c>
      <c r="AQ40" s="30">
        <f>Mtoe!S40</f>
        <v>1</v>
      </c>
      <c r="AR40" s="30">
        <f>Mtoe!T40</f>
        <v>1</v>
      </c>
      <c r="AS40" s="30">
        <f>Mtoe!U40</f>
        <v>1</v>
      </c>
      <c r="AT40" s="30">
        <f>Mtoe!V40</f>
        <v>1</v>
      </c>
      <c r="AU40" s="30">
        <f>Mtoe!W40</f>
        <v>1</v>
      </c>
      <c r="AV40" s="30">
        <f>Mtoe!X40</f>
        <v>1</v>
      </c>
      <c r="AW40" s="36"/>
      <c r="AX40" s="3" t="s">
        <v>28</v>
      </c>
      <c r="AY40" s="209">
        <f t="shared" si="17"/>
        <v>25.78515625</v>
      </c>
      <c r="AZ40" s="209"/>
      <c r="BA40" s="209">
        <f t="shared" si="18"/>
        <v>9.332380952380953</v>
      </c>
      <c r="BB40" s="209">
        <f t="shared" si="19"/>
        <v>0</v>
      </c>
      <c r="BC40" s="209"/>
      <c r="BD40" s="209"/>
      <c r="BE40" s="209"/>
      <c r="BF40" s="209">
        <f>AT40*I40</f>
        <v>2.6357142857142852</v>
      </c>
      <c r="BG40" s="209">
        <f t="shared" si="20"/>
        <v>0</v>
      </c>
      <c r="BH40" s="209">
        <f t="shared" si="21"/>
        <v>0</v>
      </c>
      <c r="BI40" s="215">
        <f t="shared" si="8"/>
        <v>37.75325148809524</v>
      </c>
      <c r="BJ40" s="33"/>
      <c r="BK40" s="110" t="s">
        <v>28</v>
      </c>
      <c r="BL40" s="157">
        <f t="shared" si="22"/>
        <v>99.4778435546875</v>
      </c>
      <c r="BM40" s="157">
        <f t="shared" si="22"/>
        <v>0</v>
      </c>
      <c r="BN40" s="157">
        <f t="shared" si="22"/>
        <v>29.182075266666665</v>
      </c>
      <c r="BO40" s="157">
        <f t="shared" si="22"/>
        <v>0</v>
      </c>
      <c r="BP40" s="157"/>
      <c r="BQ40" s="157"/>
      <c r="BR40" s="157"/>
      <c r="BS40" s="157">
        <f t="shared" si="22"/>
        <v>12.63029014285714</v>
      </c>
      <c r="BT40" s="157" t="e">
        <f t="shared" si="24"/>
        <v>#DIV/0!</v>
      </c>
      <c r="BU40" s="157" t="e">
        <f t="shared" si="24"/>
        <v>#DIV/0!</v>
      </c>
      <c r="BV40" s="158" t="e">
        <f t="shared" si="23"/>
        <v>#DIV/0!</v>
      </c>
      <c r="BW40" s="4" t="e">
        <f t="shared" si="16"/>
        <v>#DIV/0!</v>
      </c>
      <c r="BX40" s="4" t="s">
        <v>110</v>
      </c>
      <c r="BY40" s="4">
        <v>1.3749365515447527</v>
      </c>
      <c r="BZ40" t="s">
        <v>110</v>
      </c>
    </row>
    <row r="41" spans="1:78" ht="12.75">
      <c r="A41" s="64" t="s">
        <v>29</v>
      </c>
      <c r="B41" s="65">
        <f>($C$4/B$4)*Mtoe!B41*(B92*(100-B142)/10)</f>
        <v>17.9375</v>
      </c>
      <c r="C41" s="65"/>
      <c r="D41" s="65">
        <f>($C$4/D$4)*Mtoe!D41*(D92*(100-D142)/10)</f>
        <v>3.162857142857143</v>
      </c>
      <c r="E41" s="65"/>
      <c r="F41" s="65"/>
      <c r="G41" s="65"/>
      <c r="H41" s="65"/>
      <c r="I41" s="65"/>
      <c r="J41" s="252"/>
      <c r="K41" s="65"/>
      <c r="L41" s="71"/>
      <c r="N41" s="65">
        <f>($C$4/B$4)*Mtoe!B41*((130/32)*(N92*(100-N142)/10))</f>
        <v>11.451171875</v>
      </c>
      <c r="O41" s="65"/>
      <c r="P41" s="65">
        <f>($C$4/D$4)*Mtoe!D41*((130/32)*(P92*(100-P142)/10))</f>
        <v>80.30691964285714</v>
      </c>
      <c r="Q41" s="65"/>
      <c r="R41" s="65"/>
      <c r="S41" s="65"/>
      <c r="T41" s="65"/>
      <c r="U41" s="65"/>
      <c r="V41" s="65"/>
      <c r="W41" s="65"/>
      <c r="X41" s="71"/>
      <c r="Z41" s="65"/>
      <c r="AA41" s="65"/>
      <c r="AB41" s="65"/>
      <c r="AC41" s="65"/>
      <c r="AD41" s="65"/>
      <c r="AE41" s="65"/>
      <c r="AF41" s="65"/>
      <c r="AG41" s="65"/>
      <c r="AH41" s="65"/>
      <c r="AI41" s="65"/>
      <c r="AJ41" s="71"/>
      <c r="AL41" s="3" t="s">
        <v>29</v>
      </c>
      <c r="AM41" s="30">
        <f>Mtoe!O41</f>
        <v>1</v>
      </c>
      <c r="AN41" s="30">
        <f>Mtoe!P41</f>
        <v>1</v>
      </c>
      <c r="AO41" s="30">
        <f>Mtoe!Q41</f>
        <v>1</v>
      </c>
      <c r="AP41" s="30">
        <f>Mtoe!R41</f>
        <v>1</v>
      </c>
      <c r="AQ41" s="30">
        <f>Mtoe!S41</f>
        <v>1</v>
      </c>
      <c r="AR41" s="30">
        <f>Mtoe!T41</f>
        <v>1</v>
      </c>
      <c r="AS41" s="30">
        <f>Mtoe!U41</f>
        <v>1</v>
      </c>
      <c r="AT41" s="30">
        <f>Mtoe!V41</f>
        <v>1</v>
      </c>
      <c r="AU41" s="30">
        <f>Mtoe!W41</f>
        <v>1</v>
      </c>
      <c r="AV41" s="30">
        <f>Mtoe!X41</f>
        <v>1</v>
      </c>
      <c r="AW41" s="36"/>
      <c r="AX41" s="3" t="s">
        <v>29</v>
      </c>
      <c r="AY41" s="209">
        <f t="shared" si="17"/>
        <v>17.9375</v>
      </c>
      <c r="AZ41" s="209"/>
      <c r="BA41" s="209">
        <f t="shared" si="18"/>
        <v>3.162857142857143</v>
      </c>
      <c r="BB41" s="209">
        <f t="shared" si="19"/>
        <v>0</v>
      </c>
      <c r="BC41" s="209"/>
      <c r="BD41" s="209"/>
      <c r="BE41" s="209"/>
      <c r="BF41" s="209"/>
      <c r="BG41" s="209">
        <f t="shared" si="20"/>
        <v>0</v>
      </c>
      <c r="BH41" s="209">
        <f t="shared" si="21"/>
        <v>0</v>
      </c>
      <c r="BI41" s="215">
        <f t="shared" si="8"/>
        <v>21.100357142857142</v>
      </c>
      <c r="BJ41" s="33"/>
      <c r="BK41" s="110" t="s">
        <v>29</v>
      </c>
      <c r="BL41" s="157">
        <f t="shared" si="22"/>
        <v>69.201978125</v>
      </c>
      <c r="BM41" s="157">
        <f t="shared" si="22"/>
        <v>0</v>
      </c>
      <c r="BN41" s="157">
        <f t="shared" si="22"/>
        <v>9.890159399999998</v>
      </c>
      <c r="BO41" s="157">
        <f t="shared" si="22"/>
        <v>0</v>
      </c>
      <c r="BP41" s="157"/>
      <c r="BQ41" s="157"/>
      <c r="BR41" s="157"/>
      <c r="BS41" s="157">
        <f t="shared" si="22"/>
        <v>0</v>
      </c>
      <c r="BT41" s="157" t="e">
        <f t="shared" si="24"/>
        <v>#DIV/0!</v>
      </c>
      <c r="BU41" s="157" t="e">
        <f t="shared" si="24"/>
        <v>#DIV/0!</v>
      </c>
      <c r="BV41" s="158" t="e">
        <f t="shared" si="23"/>
        <v>#DIV/0!</v>
      </c>
      <c r="BW41" s="4" t="e">
        <f t="shared" si="16"/>
        <v>#DIV/0!</v>
      </c>
      <c r="BX41" s="4" t="s">
        <v>110</v>
      </c>
      <c r="BY41" s="4">
        <v>0.2335041742683908</v>
      </c>
      <c r="BZ41" t="s">
        <v>110</v>
      </c>
    </row>
    <row r="42" spans="1:78" ht="12.75">
      <c r="A42" s="64" t="s">
        <v>30</v>
      </c>
      <c r="B42" s="65">
        <f>($C$4/B$4)*Mtoe!B42*(B93*(100-B143)/10)</f>
        <v>253.36718749999997</v>
      </c>
      <c r="C42" s="65"/>
      <c r="D42" s="65">
        <f>($C$4/D$4)*Mtoe!D42*(D93*(100-D143)/10)</f>
        <v>15.228571428571428</v>
      </c>
      <c r="E42" s="65"/>
      <c r="F42" s="65"/>
      <c r="G42" s="65"/>
      <c r="H42" s="65"/>
      <c r="I42" s="65">
        <f>($C$4/I$4)*Mtoe!I42*(I93*(100-I143)/10)</f>
        <v>79.07142857142857</v>
      </c>
      <c r="J42" s="252"/>
      <c r="K42" s="65"/>
      <c r="L42" s="71"/>
      <c r="N42" s="65">
        <f>($C$4/B$4)*Mtoe!B42*((130/32)*(N93*(100-N143)/10))</f>
        <v>161.747802734375</v>
      </c>
      <c r="O42" s="65"/>
      <c r="P42" s="65">
        <f>($C$4/D$4)*Mtoe!D42*((130/32)*(P93*(100-P143)/10))</f>
        <v>386.6629464285714</v>
      </c>
      <c r="Q42" s="65"/>
      <c r="R42" s="65"/>
      <c r="S42" s="65"/>
      <c r="T42" s="65"/>
      <c r="U42" s="65">
        <f>($C$4/I$4)*Mtoe!I42*((130/32)*(U93*(100-U143)/10))</f>
        <v>21.41517857142857</v>
      </c>
      <c r="V42" s="65"/>
      <c r="W42" s="65"/>
      <c r="X42" s="71"/>
      <c r="Z42" s="65"/>
      <c r="AA42" s="65"/>
      <c r="AB42" s="65"/>
      <c r="AC42" s="65"/>
      <c r="AD42" s="65"/>
      <c r="AE42" s="65"/>
      <c r="AF42" s="65"/>
      <c r="AG42" s="65"/>
      <c r="AH42" s="65"/>
      <c r="AI42" s="65"/>
      <c r="AJ42" s="71"/>
      <c r="AL42" s="3" t="s">
        <v>30</v>
      </c>
      <c r="AM42" s="30">
        <f>Mtoe!O42</f>
        <v>1</v>
      </c>
      <c r="AN42" s="30">
        <f>Mtoe!P42</f>
        <v>1</v>
      </c>
      <c r="AO42" s="30">
        <f>Mtoe!Q42</f>
        <v>1</v>
      </c>
      <c r="AP42" s="30">
        <f>Mtoe!R42</f>
        <v>1</v>
      </c>
      <c r="AQ42" s="30">
        <f>Mtoe!S42</f>
        <v>1</v>
      </c>
      <c r="AR42" s="30">
        <f>Mtoe!T42</f>
        <v>1</v>
      </c>
      <c r="AS42" s="30">
        <f>Mtoe!U42</f>
        <v>1</v>
      </c>
      <c r="AT42" s="30">
        <f>Mtoe!V42</f>
        <v>1</v>
      </c>
      <c r="AU42" s="30">
        <f>Mtoe!W42</f>
        <v>1</v>
      </c>
      <c r="AV42" s="30">
        <f>Mtoe!X42</f>
        <v>1</v>
      </c>
      <c r="AW42" s="36"/>
      <c r="AX42" s="3" t="s">
        <v>30</v>
      </c>
      <c r="AY42" s="209">
        <f t="shared" si="17"/>
        <v>253.36718749999997</v>
      </c>
      <c r="AZ42" s="209"/>
      <c r="BA42" s="209">
        <f t="shared" si="18"/>
        <v>15.228571428571428</v>
      </c>
      <c r="BB42" s="209">
        <f t="shared" si="19"/>
        <v>0</v>
      </c>
      <c r="BC42" s="209"/>
      <c r="BD42" s="209"/>
      <c r="BE42" s="209"/>
      <c r="BF42" s="209">
        <f aca="true" t="shared" si="25" ref="BF42:BF47">AT42*I42</f>
        <v>79.07142857142857</v>
      </c>
      <c r="BG42" s="209">
        <f t="shared" si="20"/>
        <v>0</v>
      </c>
      <c r="BH42" s="209">
        <f t="shared" si="21"/>
        <v>0</v>
      </c>
      <c r="BI42" s="215">
        <f t="shared" si="8"/>
        <v>347.66718749999995</v>
      </c>
      <c r="BJ42" s="33"/>
      <c r="BK42" s="110" t="s">
        <v>30</v>
      </c>
      <c r="BL42" s="157">
        <f t="shared" si="22"/>
        <v>977.4779410156249</v>
      </c>
      <c r="BM42" s="157">
        <f t="shared" si="22"/>
        <v>0</v>
      </c>
      <c r="BN42" s="157">
        <f t="shared" si="22"/>
        <v>47.61928599999999</v>
      </c>
      <c r="BO42" s="157">
        <f t="shared" si="22"/>
        <v>0</v>
      </c>
      <c r="BP42" s="157"/>
      <c r="BQ42" s="157"/>
      <c r="BR42" s="157"/>
      <c r="BS42" s="157">
        <f t="shared" si="22"/>
        <v>378.90870428571424</v>
      </c>
      <c r="BT42" s="157" t="e">
        <f t="shared" si="24"/>
        <v>#DIV/0!</v>
      </c>
      <c r="BU42" s="157" t="e">
        <f t="shared" si="24"/>
        <v>#DIV/0!</v>
      </c>
      <c r="BV42" s="158" t="e">
        <f t="shared" si="23"/>
        <v>#DIV/0!</v>
      </c>
      <c r="BW42" s="4" t="e">
        <f t="shared" si="16"/>
        <v>#DIV/0!</v>
      </c>
      <c r="BX42" s="4" t="s">
        <v>110</v>
      </c>
      <c r="BY42" s="4">
        <v>1.9328176100441077</v>
      </c>
      <c r="BZ42" t="s">
        <v>110</v>
      </c>
    </row>
    <row r="43" spans="1:78" ht="12.75">
      <c r="A43" s="64" t="s">
        <v>31</v>
      </c>
      <c r="B43" s="65">
        <f>($C$4/B$4)*Mtoe!B43*(B94*(100-B144)/10)</f>
        <v>142.37890625</v>
      </c>
      <c r="C43" s="65"/>
      <c r="D43" s="65">
        <f>($C$4/D$4)*Mtoe!D43*(D94*(100-D144)/10)</f>
        <v>7.965714285714285</v>
      </c>
      <c r="E43" s="65"/>
      <c r="F43" s="65"/>
      <c r="G43" s="65"/>
      <c r="H43" s="65"/>
      <c r="I43" s="65">
        <f>($C$4/I$4)*Mtoe!I43*(I94*(100-I144)/10)</f>
        <v>132.37142857142857</v>
      </c>
      <c r="J43" s="252"/>
      <c r="K43" s="65"/>
      <c r="L43" s="71"/>
      <c r="N43" s="65">
        <f>($C$4/B$4)*Mtoe!B43*((130/32)*(N94*(100-N144)/10))</f>
        <v>90.89367675781253</v>
      </c>
      <c r="O43" s="65"/>
      <c r="P43" s="65">
        <f>($C$4/D$4)*Mtoe!D43*((130/32)*(P94*(100-P144)/10))</f>
        <v>202.25446428571428</v>
      </c>
      <c r="Q43" s="65"/>
      <c r="R43" s="65"/>
      <c r="S43" s="65"/>
      <c r="T43" s="65"/>
      <c r="U43" s="65">
        <f>($C$4/I$4)*Mtoe!I43*((130/32)*(U94*(100-U144)/10))</f>
        <v>145.19491071428573</v>
      </c>
      <c r="V43" s="65"/>
      <c r="W43" s="65"/>
      <c r="X43" s="71"/>
      <c r="Z43" s="65"/>
      <c r="AA43" s="65"/>
      <c r="AB43" s="65"/>
      <c r="AC43" s="65"/>
      <c r="AD43" s="65"/>
      <c r="AE43" s="65"/>
      <c r="AF43" s="65"/>
      <c r="AG43" s="65"/>
      <c r="AH43" s="65"/>
      <c r="AI43" s="65"/>
      <c r="AJ43" s="71"/>
      <c r="AL43" s="3" t="s">
        <v>31</v>
      </c>
      <c r="AM43" s="30">
        <f>Mtoe!O43</f>
        <v>1</v>
      </c>
      <c r="AN43" s="30">
        <f>Mtoe!P43</f>
        <v>1</v>
      </c>
      <c r="AO43" s="30">
        <f>Mtoe!Q43</f>
        <v>1</v>
      </c>
      <c r="AP43" s="30">
        <f>Mtoe!R43</f>
        <v>1</v>
      </c>
      <c r="AQ43" s="30">
        <f>Mtoe!S43</f>
        <v>1</v>
      </c>
      <c r="AR43" s="30">
        <f>Mtoe!T43</f>
        <v>1</v>
      </c>
      <c r="AS43" s="30">
        <f>Mtoe!U43</f>
        <v>1</v>
      </c>
      <c r="AT43" s="30">
        <f>Mtoe!V43</f>
        <v>1</v>
      </c>
      <c r="AU43" s="30">
        <f>Mtoe!W43</f>
        <v>1</v>
      </c>
      <c r="AV43" s="30">
        <f>Mtoe!X43</f>
        <v>1</v>
      </c>
      <c r="AW43" s="36"/>
      <c r="AX43" s="3" t="s">
        <v>31</v>
      </c>
      <c r="AY43" s="209">
        <f t="shared" si="17"/>
        <v>142.37890625</v>
      </c>
      <c r="AZ43" s="209"/>
      <c r="BA43" s="209">
        <f t="shared" si="18"/>
        <v>7.965714285714285</v>
      </c>
      <c r="BB43" s="209">
        <f t="shared" si="19"/>
        <v>0</v>
      </c>
      <c r="BC43" s="209"/>
      <c r="BD43" s="209"/>
      <c r="BE43" s="209"/>
      <c r="BF43" s="209">
        <f t="shared" si="25"/>
        <v>132.37142857142857</v>
      </c>
      <c r="BG43" s="209">
        <f t="shared" si="20"/>
        <v>0</v>
      </c>
      <c r="BH43" s="209">
        <f t="shared" si="21"/>
        <v>0</v>
      </c>
      <c r="BI43" s="215">
        <f t="shared" si="8"/>
        <v>282.71604910714285</v>
      </c>
      <c r="BJ43" s="33"/>
      <c r="BK43" s="110" t="s">
        <v>31</v>
      </c>
      <c r="BL43" s="157">
        <f t="shared" si="22"/>
        <v>549.2907013671875</v>
      </c>
      <c r="BM43" s="157">
        <f t="shared" si="22"/>
        <v>0</v>
      </c>
      <c r="BN43" s="157">
        <f t="shared" si="22"/>
        <v>24.908549599999997</v>
      </c>
      <c r="BO43" s="157">
        <f t="shared" si="22"/>
        <v>0</v>
      </c>
      <c r="BP43" s="157"/>
      <c r="BQ43" s="157"/>
      <c r="BR43" s="157"/>
      <c r="BS43" s="157">
        <f t="shared" si="22"/>
        <v>634.3212382857142</v>
      </c>
      <c r="BT43" s="157" t="e">
        <f t="shared" si="24"/>
        <v>#DIV/0!</v>
      </c>
      <c r="BU43" s="157" t="e">
        <f t="shared" si="24"/>
        <v>#DIV/0!</v>
      </c>
      <c r="BV43" s="158" t="e">
        <f t="shared" si="23"/>
        <v>#DIV/0!</v>
      </c>
      <c r="BW43" s="4" t="e">
        <f t="shared" si="16"/>
        <v>#DIV/0!</v>
      </c>
      <c r="BX43" s="4" t="s">
        <v>110</v>
      </c>
      <c r="BY43" s="4">
        <v>1.8678049152373926</v>
      </c>
      <c r="BZ43" t="s">
        <v>110</v>
      </c>
    </row>
    <row r="44" spans="1:78" ht="12.75">
      <c r="A44" s="64" t="s">
        <v>32</v>
      </c>
      <c r="B44" s="65">
        <f>($C$4/B$4)*Mtoe!B44*(B95*(100-B145)/10)</f>
        <v>15.695312500000002</v>
      </c>
      <c r="C44" s="65"/>
      <c r="D44" s="65">
        <f>($C$4/D$4)*Mtoe!D44*(D95*(100-D145)/10)</f>
        <v>1.2104761904761905</v>
      </c>
      <c r="E44" s="65"/>
      <c r="F44" s="65"/>
      <c r="G44" s="65"/>
      <c r="H44" s="65"/>
      <c r="I44" s="65">
        <f>($C$4/I$4)*Mtoe!I44*(I95*(100-I145)/10)</f>
        <v>55.349999999999994</v>
      </c>
      <c r="J44" s="252"/>
      <c r="K44" s="65"/>
      <c r="L44" s="71"/>
      <c r="N44" s="65">
        <f>($C$4/B$4)*Mtoe!B44*((130/32)*(N95*(100-N145)/10))</f>
        <v>10.019775390625002</v>
      </c>
      <c r="O44" s="65"/>
      <c r="P44" s="65">
        <f>($C$4/D$4)*Mtoe!D44*((130/32)*(P95*(100-P145)/10))</f>
        <v>30.734747023809526</v>
      </c>
      <c r="Q44" s="65"/>
      <c r="R44" s="65"/>
      <c r="S44" s="65"/>
      <c r="T44" s="65"/>
      <c r="U44" s="65">
        <f>($C$4/I$4)*Mtoe!I44*((130/32)*(U95*(100-U145)/10))</f>
        <v>74.953125</v>
      </c>
      <c r="V44" s="65"/>
      <c r="W44" s="65"/>
      <c r="X44" s="71"/>
      <c r="Z44" s="65"/>
      <c r="AA44" s="65"/>
      <c r="AB44" s="65"/>
      <c r="AC44" s="65"/>
      <c r="AD44" s="65"/>
      <c r="AE44" s="65"/>
      <c r="AF44" s="65"/>
      <c r="AG44" s="65"/>
      <c r="AH44" s="65"/>
      <c r="AI44" s="65"/>
      <c r="AJ44" s="71"/>
      <c r="AL44" s="3" t="s">
        <v>32</v>
      </c>
      <c r="AM44" s="30">
        <f>Mtoe!O44</f>
        <v>1</v>
      </c>
      <c r="AN44" s="30">
        <f>Mtoe!P44</f>
        <v>1</v>
      </c>
      <c r="AO44" s="30">
        <f>Mtoe!Q44</f>
        <v>1</v>
      </c>
      <c r="AP44" s="30">
        <f>Mtoe!R44</f>
        <v>1</v>
      </c>
      <c r="AQ44" s="30">
        <f>Mtoe!S44</f>
        <v>1</v>
      </c>
      <c r="AR44" s="30">
        <f>Mtoe!T44</f>
        <v>1</v>
      </c>
      <c r="AS44" s="30">
        <f>Mtoe!U44</f>
        <v>1</v>
      </c>
      <c r="AT44" s="30">
        <f>Mtoe!V44</f>
        <v>1</v>
      </c>
      <c r="AU44" s="30">
        <f>Mtoe!W44</f>
        <v>1</v>
      </c>
      <c r="AV44" s="30">
        <f>Mtoe!X44</f>
        <v>1</v>
      </c>
      <c r="AW44" s="36"/>
      <c r="AX44" s="3" t="s">
        <v>32</v>
      </c>
      <c r="AY44" s="209">
        <f t="shared" si="17"/>
        <v>15.695312500000002</v>
      </c>
      <c r="AZ44" s="209"/>
      <c r="BA44" s="209">
        <f t="shared" si="18"/>
        <v>1.2104761904761905</v>
      </c>
      <c r="BB44" s="209">
        <f t="shared" si="19"/>
        <v>0</v>
      </c>
      <c r="BC44" s="209"/>
      <c r="BD44" s="209"/>
      <c r="BE44" s="209"/>
      <c r="BF44" s="209">
        <f t="shared" si="25"/>
        <v>55.349999999999994</v>
      </c>
      <c r="BG44" s="209">
        <f t="shared" si="20"/>
        <v>0</v>
      </c>
      <c r="BH44" s="209">
        <f t="shared" si="21"/>
        <v>0</v>
      </c>
      <c r="BI44" s="215">
        <f t="shared" si="8"/>
        <v>72.25578869047618</v>
      </c>
      <c r="BJ44" s="33"/>
      <c r="BK44" s="110" t="s">
        <v>32</v>
      </c>
      <c r="BL44" s="157">
        <f t="shared" si="22"/>
        <v>60.551730859375006</v>
      </c>
      <c r="BM44" s="157">
        <f t="shared" si="22"/>
        <v>0</v>
      </c>
      <c r="BN44" s="157">
        <f t="shared" si="22"/>
        <v>3.785122733333333</v>
      </c>
      <c r="BO44" s="157">
        <f t="shared" si="22"/>
        <v>0</v>
      </c>
      <c r="BP44" s="157"/>
      <c r="BQ44" s="157"/>
      <c r="BR44" s="157"/>
      <c r="BS44" s="157">
        <f t="shared" si="22"/>
        <v>265.236093</v>
      </c>
      <c r="BT44" s="157" t="e">
        <f t="shared" si="24"/>
        <v>#DIV/0!</v>
      </c>
      <c r="BU44" s="157" t="e">
        <f t="shared" si="24"/>
        <v>#DIV/0!</v>
      </c>
      <c r="BV44" s="158" t="e">
        <f t="shared" si="23"/>
        <v>#DIV/0!</v>
      </c>
      <c r="BW44" s="4" t="e">
        <f t="shared" si="16"/>
        <v>#DIV/0!</v>
      </c>
      <c r="BX44" s="4" t="s">
        <v>110</v>
      </c>
      <c r="BY44" s="4">
        <v>0.2704680160743456</v>
      </c>
      <c r="BZ44" t="s">
        <v>110</v>
      </c>
    </row>
    <row r="45" spans="1:78" ht="12.75">
      <c r="A45" s="64" t="s">
        <v>33</v>
      </c>
      <c r="B45" s="65">
        <f>($C$4/B$4)*Mtoe!B45*(B96*(100-B146)/10)</f>
        <v>242.15625</v>
      </c>
      <c r="C45" s="65"/>
      <c r="D45" s="65">
        <f>($C$4/D$4)*Mtoe!D45*(D96*(100-D146)/10)</f>
        <v>13.237142857142857</v>
      </c>
      <c r="E45" s="65"/>
      <c r="F45" s="65"/>
      <c r="G45" s="65"/>
      <c r="H45" s="65"/>
      <c r="I45" s="65">
        <f>($C$4/I$4)*Mtoe!I45*(I96*(100-I146)/10)</f>
        <v>10.542857142857141</v>
      </c>
      <c r="J45" s="252"/>
      <c r="K45" s="65"/>
      <c r="L45" s="71"/>
      <c r="N45" s="65">
        <f>($C$4/B$4)*Mtoe!B45*((130/32)*(N96*(100-N146)/10))</f>
        <v>154.59082031250003</v>
      </c>
      <c r="O45" s="65"/>
      <c r="P45" s="65">
        <f>($C$4/D$4)*Mtoe!D45*((130/32)*(P96*(100-P146)/10))</f>
        <v>26.88794642857143</v>
      </c>
      <c r="Q45" s="65"/>
      <c r="R45" s="65"/>
      <c r="S45" s="65"/>
      <c r="T45" s="65"/>
      <c r="U45" s="65">
        <f>($C$4/I$4)*Mtoe!I45*((130/32)*(U96*(100-U146)/10))</f>
        <v>2.8553571428571423</v>
      </c>
      <c r="V45" s="65"/>
      <c r="W45" s="65"/>
      <c r="X45" s="71"/>
      <c r="Z45" s="65"/>
      <c r="AA45" s="65"/>
      <c r="AB45" s="65"/>
      <c r="AC45" s="65"/>
      <c r="AD45" s="65"/>
      <c r="AE45" s="65"/>
      <c r="AF45" s="65"/>
      <c r="AG45" s="65"/>
      <c r="AH45" s="65"/>
      <c r="AI45" s="65"/>
      <c r="AJ45" s="71"/>
      <c r="AL45" s="3" t="s">
        <v>33</v>
      </c>
      <c r="AM45" s="30">
        <f>Mtoe!O45</f>
        <v>1</v>
      </c>
      <c r="AN45" s="30">
        <f>Mtoe!P45</f>
        <v>1</v>
      </c>
      <c r="AO45" s="30">
        <f>Mtoe!Q45</f>
        <v>1</v>
      </c>
      <c r="AP45" s="30">
        <f>Mtoe!R45</f>
        <v>1</v>
      </c>
      <c r="AQ45" s="30">
        <f>Mtoe!S45</f>
        <v>1</v>
      </c>
      <c r="AR45" s="30">
        <f>Mtoe!T45</f>
        <v>1</v>
      </c>
      <c r="AS45" s="30">
        <f>Mtoe!U45</f>
        <v>1</v>
      </c>
      <c r="AT45" s="30">
        <f>Mtoe!V45</f>
        <v>1</v>
      </c>
      <c r="AU45" s="30">
        <f>Mtoe!W45</f>
        <v>1</v>
      </c>
      <c r="AV45" s="30">
        <f>Mtoe!X45</f>
        <v>1</v>
      </c>
      <c r="AW45" s="36"/>
      <c r="AX45" s="3" t="s">
        <v>33</v>
      </c>
      <c r="AY45" s="209">
        <f t="shared" si="17"/>
        <v>242.15625</v>
      </c>
      <c r="AZ45" s="209"/>
      <c r="BA45" s="209">
        <f t="shared" si="18"/>
        <v>13.237142857142857</v>
      </c>
      <c r="BB45" s="209">
        <f t="shared" si="19"/>
        <v>0</v>
      </c>
      <c r="BC45" s="209"/>
      <c r="BD45" s="209"/>
      <c r="BE45" s="209"/>
      <c r="BF45" s="209">
        <f t="shared" si="25"/>
        <v>10.542857142857141</v>
      </c>
      <c r="BG45" s="209">
        <f t="shared" si="20"/>
        <v>0</v>
      </c>
      <c r="BH45" s="209">
        <f t="shared" si="21"/>
        <v>0</v>
      </c>
      <c r="BI45" s="215">
        <f t="shared" si="8"/>
        <v>265.93625</v>
      </c>
      <c r="BJ45" s="33"/>
      <c r="BK45" s="110" t="s">
        <v>33</v>
      </c>
      <c r="BL45" s="157">
        <f t="shared" si="22"/>
        <v>934.2267046874999</v>
      </c>
      <c r="BM45" s="157">
        <f t="shared" si="22"/>
        <v>0</v>
      </c>
      <c r="BN45" s="157">
        <f t="shared" si="22"/>
        <v>41.39214859999999</v>
      </c>
      <c r="BO45" s="157">
        <f t="shared" si="22"/>
        <v>0</v>
      </c>
      <c r="BP45" s="157"/>
      <c r="BQ45" s="157"/>
      <c r="BR45" s="157"/>
      <c r="BS45" s="157">
        <f t="shared" si="22"/>
        <v>50.52116057142856</v>
      </c>
      <c r="BT45" s="157" t="e">
        <f t="shared" si="24"/>
        <v>#DIV/0!</v>
      </c>
      <c r="BU45" s="157" t="e">
        <f t="shared" si="24"/>
        <v>#DIV/0!</v>
      </c>
      <c r="BV45" s="158" t="e">
        <f t="shared" si="23"/>
        <v>#DIV/0!</v>
      </c>
      <c r="BW45" s="4" t="e">
        <f t="shared" si="16"/>
        <v>#DIV/0!</v>
      </c>
      <c r="BX45" s="4" t="s">
        <v>110</v>
      </c>
      <c r="BY45" s="4">
        <v>0.5818535847240011</v>
      </c>
      <c r="BZ45" t="s">
        <v>110</v>
      </c>
    </row>
    <row r="46" spans="1:78" ht="12.75">
      <c r="A46" s="64" t="s">
        <v>34</v>
      </c>
      <c r="B46" s="65">
        <f>($C$4/B$4)*Mtoe!B46*(B97*(100-B147)/10)</f>
        <v>36.99609375</v>
      </c>
      <c r="C46" s="65"/>
      <c r="D46" s="65">
        <f>($C$4/D$4)*Mtoe!D46*(D97*(100-D147)/10)</f>
        <v>3.3971428571428572</v>
      </c>
      <c r="E46" s="65"/>
      <c r="F46" s="65"/>
      <c r="G46" s="65"/>
      <c r="H46" s="65"/>
      <c r="I46" s="65">
        <f>($C$4/I$4)*Mtoe!I46*(I97*(100-I147)/10)</f>
        <v>6.15</v>
      </c>
      <c r="J46" s="252"/>
      <c r="K46" s="65"/>
      <c r="L46" s="71"/>
      <c r="N46" s="65">
        <f>($C$4/B$4)*Mtoe!B46*((130/32)*(N97*(100-N147)/10))</f>
        <v>23.618041992187507</v>
      </c>
      <c r="O46" s="65"/>
      <c r="P46" s="65">
        <f>($C$4/D$4)*Mtoe!D46*((130/32)*(P97*(100-P147)/10))</f>
        <v>6.900446428571429</v>
      </c>
      <c r="Q46" s="65"/>
      <c r="R46" s="65"/>
      <c r="S46" s="65"/>
      <c r="T46" s="65"/>
      <c r="U46" s="65">
        <f>($C$4/I$4)*Mtoe!I46*((130/32)*(U97*(100-U147)/10))</f>
        <v>1.6656250000000001</v>
      </c>
      <c r="V46" s="65"/>
      <c r="W46" s="65"/>
      <c r="X46" s="71"/>
      <c r="Z46" s="65"/>
      <c r="AA46" s="65"/>
      <c r="AB46" s="65"/>
      <c r="AC46" s="65"/>
      <c r="AD46" s="65"/>
      <c r="AE46" s="65"/>
      <c r="AF46" s="65"/>
      <c r="AG46" s="65"/>
      <c r="AH46" s="65"/>
      <c r="AI46" s="65"/>
      <c r="AJ46" s="71"/>
      <c r="AL46" s="3" t="s">
        <v>34</v>
      </c>
      <c r="AM46" s="30">
        <f>Mtoe!O46</f>
        <v>1</v>
      </c>
      <c r="AN46" s="30">
        <f>Mtoe!P46</f>
        <v>1</v>
      </c>
      <c r="AO46" s="30">
        <f>Mtoe!Q46</f>
        <v>1</v>
      </c>
      <c r="AP46" s="30">
        <f>Mtoe!R46</f>
        <v>1</v>
      </c>
      <c r="AQ46" s="30">
        <f>Mtoe!S46</f>
        <v>1</v>
      </c>
      <c r="AR46" s="30">
        <f>Mtoe!T46</f>
        <v>1</v>
      </c>
      <c r="AS46" s="30">
        <f>Mtoe!U46</f>
        <v>1</v>
      </c>
      <c r="AT46" s="30">
        <f>Mtoe!V46</f>
        <v>1</v>
      </c>
      <c r="AU46" s="30">
        <f>Mtoe!W46</f>
        <v>1</v>
      </c>
      <c r="AV46" s="30">
        <f>Mtoe!X46</f>
        <v>1</v>
      </c>
      <c r="AW46" s="36"/>
      <c r="AX46" s="3" t="s">
        <v>34</v>
      </c>
      <c r="AY46" s="209">
        <f t="shared" si="17"/>
        <v>36.99609375</v>
      </c>
      <c r="AZ46" s="209"/>
      <c r="BA46" s="209">
        <f t="shared" si="18"/>
        <v>3.3971428571428572</v>
      </c>
      <c r="BB46" s="209">
        <f t="shared" si="19"/>
        <v>0</v>
      </c>
      <c r="BC46" s="209"/>
      <c r="BD46" s="209"/>
      <c r="BE46" s="209"/>
      <c r="BF46" s="209">
        <f t="shared" si="25"/>
        <v>6.15</v>
      </c>
      <c r="BG46" s="209">
        <f t="shared" si="20"/>
        <v>0</v>
      </c>
      <c r="BH46" s="209">
        <f t="shared" si="21"/>
        <v>0</v>
      </c>
      <c r="BI46" s="215">
        <f t="shared" si="8"/>
        <v>46.54323660714286</v>
      </c>
      <c r="BJ46" s="33"/>
      <c r="BK46" s="110" t="s">
        <v>34</v>
      </c>
      <c r="BL46" s="157">
        <f t="shared" si="22"/>
        <v>142.7290798828125</v>
      </c>
      <c r="BM46" s="157">
        <f t="shared" si="22"/>
        <v>0</v>
      </c>
      <c r="BN46" s="157">
        <f t="shared" si="22"/>
        <v>10.6227638</v>
      </c>
      <c r="BO46" s="157">
        <f t="shared" si="22"/>
        <v>0</v>
      </c>
      <c r="BP46" s="157"/>
      <c r="BQ46" s="157"/>
      <c r="BR46" s="157"/>
      <c r="BS46" s="157">
        <f t="shared" si="22"/>
        <v>29.470677</v>
      </c>
      <c r="BT46" s="157" t="e">
        <f t="shared" si="24"/>
        <v>#DIV/0!</v>
      </c>
      <c r="BU46" s="157" t="e">
        <f t="shared" si="24"/>
        <v>#DIV/0!</v>
      </c>
      <c r="BV46" s="158" t="e">
        <f t="shared" si="23"/>
        <v>#DIV/0!</v>
      </c>
      <c r="BW46" s="191" t="e">
        <f t="shared" si="16"/>
        <v>#DIV/0!</v>
      </c>
      <c r="BX46" s="191" t="s">
        <v>110</v>
      </c>
      <c r="BY46" s="4">
        <v>0.543683264372239</v>
      </c>
      <c r="BZ46" t="s">
        <v>110</v>
      </c>
    </row>
    <row r="47" spans="1:78" ht="13.5" thickBot="1">
      <c r="A47" s="73" t="s">
        <v>35</v>
      </c>
      <c r="B47" s="253"/>
      <c r="C47" s="74"/>
      <c r="D47" s="74"/>
      <c r="E47" s="74"/>
      <c r="F47" s="74"/>
      <c r="G47" s="74"/>
      <c r="H47" s="74"/>
      <c r="I47" s="74"/>
      <c r="J47" s="271"/>
      <c r="K47" s="74"/>
      <c r="L47" s="96"/>
      <c r="M47" s="371"/>
      <c r="N47" s="74"/>
      <c r="O47" s="74"/>
      <c r="P47" s="74"/>
      <c r="Q47" s="74"/>
      <c r="R47" s="74"/>
      <c r="S47" s="74"/>
      <c r="T47" s="74"/>
      <c r="U47" s="74"/>
      <c r="V47" s="74"/>
      <c r="W47" s="74"/>
      <c r="X47" s="96"/>
      <c r="Z47" s="253"/>
      <c r="AA47" s="74"/>
      <c r="AB47" s="74"/>
      <c r="AC47" s="74"/>
      <c r="AD47" s="74"/>
      <c r="AE47" s="74"/>
      <c r="AF47" s="74"/>
      <c r="AG47" s="74"/>
      <c r="AH47" s="74"/>
      <c r="AI47" s="74"/>
      <c r="AJ47" s="96"/>
      <c r="AL47" s="6" t="s">
        <v>35</v>
      </c>
      <c r="AM47" s="30">
        <f>Mtoe!O47</f>
        <v>1</v>
      </c>
      <c r="AN47" s="30">
        <f>Mtoe!P47</f>
        <v>1</v>
      </c>
      <c r="AO47" s="30">
        <f>Mtoe!Q47</f>
        <v>1</v>
      </c>
      <c r="AP47" s="30">
        <f>Mtoe!R47</f>
        <v>1</v>
      </c>
      <c r="AQ47" s="30">
        <f>Mtoe!S47</f>
        <v>1</v>
      </c>
      <c r="AR47" s="30">
        <f>Mtoe!T47</f>
        <v>1</v>
      </c>
      <c r="AS47" s="30">
        <f>Mtoe!U47</f>
        <v>1</v>
      </c>
      <c r="AT47" s="30">
        <f>Mtoe!V47</f>
        <v>1</v>
      </c>
      <c r="AU47" s="30">
        <f>Mtoe!W47</f>
        <v>1</v>
      </c>
      <c r="AV47" s="30">
        <f>Mtoe!X47</f>
        <v>1</v>
      </c>
      <c r="AW47" s="41"/>
      <c r="AX47" s="6" t="s">
        <v>35</v>
      </c>
      <c r="AY47" s="219">
        <f t="shared" si="17"/>
        <v>0</v>
      </c>
      <c r="AZ47" s="219"/>
      <c r="BA47" s="219">
        <f t="shared" si="18"/>
        <v>0</v>
      </c>
      <c r="BB47" s="219">
        <f t="shared" si="19"/>
        <v>0</v>
      </c>
      <c r="BC47" s="219"/>
      <c r="BD47" s="219"/>
      <c r="BE47" s="219">
        <f>AS47*H47</f>
        <v>0</v>
      </c>
      <c r="BF47" s="219">
        <f t="shared" si="25"/>
        <v>0</v>
      </c>
      <c r="BG47" s="219">
        <f t="shared" si="20"/>
        <v>0</v>
      </c>
      <c r="BH47" s="219">
        <f t="shared" si="21"/>
        <v>0</v>
      </c>
      <c r="BI47" s="220">
        <f t="shared" si="8"/>
        <v>0</v>
      </c>
      <c r="BJ47" s="33"/>
      <c r="BK47" s="111" t="s">
        <v>35</v>
      </c>
      <c r="BL47" s="205">
        <f t="shared" si="22"/>
        <v>0</v>
      </c>
      <c r="BM47" s="162">
        <f t="shared" si="22"/>
        <v>0</v>
      </c>
      <c r="BN47" s="162">
        <f t="shared" si="22"/>
        <v>0</v>
      </c>
      <c r="BO47" s="162">
        <f t="shared" si="22"/>
        <v>0</v>
      </c>
      <c r="BP47" s="162"/>
      <c r="BQ47" s="162"/>
      <c r="BR47" s="162"/>
      <c r="BS47" s="162">
        <f t="shared" si="22"/>
        <v>0</v>
      </c>
      <c r="BT47" s="162" t="e">
        <f t="shared" si="24"/>
        <v>#DIV/0!</v>
      </c>
      <c r="BU47" s="162" t="e">
        <f t="shared" si="24"/>
        <v>#DIV/0!</v>
      </c>
      <c r="BV47" s="163" t="e">
        <f t="shared" si="23"/>
        <v>#DIV/0!</v>
      </c>
      <c r="BW47" s="195" t="e">
        <f t="shared" si="16"/>
        <v>#DIV/0!</v>
      </c>
      <c r="BX47" s="193" t="s">
        <v>110</v>
      </c>
      <c r="BY47" s="193">
        <v>3.3296751724303517</v>
      </c>
      <c r="BZ47" s="182" t="s">
        <v>110</v>
      </c>
    </row>
    <row r="48" spans="1:78" ht="12.75">
      <c r="A48" s="71" t="s">
        <v>36</v>
      </c>
      <c r="B48" s="65"/>
      <c r="C48" s="65"/>
      <c r="D48" s="65"/>
      <c r="E48" s="75"/>
      <c r="F48" s="72"/>
      <c r="G48" s="72"/>
      <c r="H48" s="72"/>
      <c r="I48" s="65"/>
      <c r="J48" s="252"/>
      <c r="K48" s="72"/>
      <c r="L48" s="71"/>
      <c r="N48" s="65"/>
      <c r="O48" s="65"/>
      <c r="P48" s="65"/>
      <c r="Q48" s="75"/>
      <c r="R48" s="72"/>
      <c r="S48" s="72"/>
      <c r="T48" s="72"/>
      <c r="U48" s="65"/>
      <c r="V48" s="72"/>
      <c r="W48" s="72"/>
      <c r="X48" s="71"/>
      <c r="Z48" s="72"/>
      <c r="AA48" s="72"/>
      <c r="AB48" s="72"/>
      <c r="AC48" s="75"/>
      <c r="AD48" s="72"/>
      <c r="AE48" s="72"/>
      <c r="AF48" s="72"/>
      <c r="AG48" s="72"/>
      <c r="AH48" s="72"/>
      <c r="AI48" s="72"/>
      <c r="AJ48" s="71"/>
      <c r="AL48" s="5" t="s">
        <v>36</v>
      </c>
      <c r="AM48" s="15"/>
      <c r="AN48" s="15"/>
      <c r="AO48" s="15"/>
      <c r="AP48" s="16"/>
      <c r="AQ48" s="15"/>
      <c r="AR48" s="15"/>
      <c r="AS48" s="15"/>
      <c r="AT48" s="15"/>
      <c r="AU48" s="15"/>
      <c r="AV48" s="15"/>
      <c r="AW48" s="40"/>
      <c r="AX48" s="5" t="s">
        <v>36</v>
      </c>
      <c r="AY48" s="207"/>
      <c r="AZ48" s="207">
        <f aca="true" t="shared" si="26" ref="AZ48:BI48">SUM(AZ49:AZ56)</f>
        <v>0</v>
      </c>
      <c r="BA48" s="218">
        <f t="shared" si="26"/>
        <v>218.48119047619045</v>
      </c>
      <c r="BB48" s="207">
        <f t="shared" si="26"/>
        <v>0</v>
      </c>
      <c r="BC48" s="207">
        <f t="shared" si="26"/>
        <v>0</v>
      </c>
      <c r="BD48" s="207">
        <f t="shared" si="26"/>
        <v>0</v>
      </c>
      <c r="BE48" s="207">
        <f t="shared" si="26"/>
        <v>0</v>
      </c>
      <c r="BF48" s="207">
        <f t="shared" si="26"/>
        <v>0</v>
      </c>
      <c r="BG48" s="218">
        <f t="shared" si="26"/>
        <v>0</v>
      </c>
      <c r="BH48" s="218">
        <f t="shared" si="26"/>
        <v>0</v>
      </c>
      <c r="BI48" s="215">
        <f t="shared" si="26"/>
        <v>218.48119047619045</v>
      </c>
      <c r="BJ48" s="33"/>
      <c r="BK48" s="201" t="s">
        <v>36</v>
      </c>
      <c r="BL48" s="206"/>
      <c r="BM48" s="160"/>
      <c r="BN48" s="160">
        <f aca="true" t="shared" si="27" ref="BN48:BV48">SUM(BN49:BN56)</f>
        <v>683.1841281833332</v>
      </c>
      <c r="BO48" s="160">
        <f t="shared" si="27"/>
        <v>0</v>
      </c>
      <c r="BP48" s="160">
        <f t="shared" si="27"/>
        <v>0</v>
      </c>
      <c r="BQ48" s="160">
        <f t="shared" si="27"/>
        <v>0</v>
      </c>
      <c r="BR48" s="160">
        <f t="shared" si="27"/>
        <v>0</v>
      </c>
      <c r="BS48" s="160">
        <f t="shared" si="27"/>
        <v>0</v>
      </c>
      <c r="BT48" s="160" t="e">
        <f t="shared" si="27"/>
        <v>#DIV/0!</v>
      </c>
      <c r="BU48" s="160" t="e">
        <f t="shared" si="27"/>
        <v>#DIV/0!</v>
      </c>
      <c r="BV48" s="158" t="e">
        <f t="shared" si="27"/>
        <v>#DIV/0!</v>
      </c>
      <c r="BW48" s="15" t="e">
        <f t="shared" si="16"/>
        <v>#DIV/0!</v>
      </c>
      <c r="BX48" s="4" t="s">
        <v>110</v>
      </c>
      <c r="BY48" s="4">
        <v>29.932820886235596</v>
      </c>
      <c r="BZ48" t="s">
        <v>110</v>
      </c>
    </row>
    <row r="49" spans="1:78" ht="12.75">
      <c r="A49" s="153" t="s">
        <v>120</v>
      </c>
      <c r="B49" s="65"/>
      <c r="C49" s="65"/>
      <c r="D49" s="65"/>
      <c r="E49" s="65"/>
      <c r="F49" s="65"/>
      <c r="G49" s="65"/>
      <c r="H49" s="65"/>
      <c r="I49" s="65"/>
      <c r="J49" s="252"/>
      <c r="K49" s="65"/>
      <c r="L49" s="75"/>
      <c r="N49" s="65"/>
      <c r="O49" s="65"/>
      <c r="P49" s="65"/>
      <c r="Q49" s="65"/>
      <c r="R49" s="65"/>
      <c r="S49" s="65"/>
      <c r="T49" s="65"/>
      <c r="U49" s="65"/>
      <c r="V49" s="65"/>
      <c r="W49" s="65"/>
      <c r="X49" s="75"/>
      <c r="Z49" s="65"/>
      <c r="AA49" s="65"/>
      <c r="AB49" s="65"/>
      <c r="AC49" s="65"/>
      <c r="AD49" s="65"/>
      <c r="AE49" s="65"/>
      <c r="AF49" s="65"/>
      <c r="AG49" s="65"/>
      <c r="AH49" s="65"/>
      <c r="AI49" s="65"/>
      <c r="AJ49" s="75"/>
      <c r="AL49" s="3" t="s">
        <v>37</v>
      </c>
      <c r="AM49" s="30">
        <f>Mtoe!O49</f>
        <v>1</v>
      </c>
      <c r="AN49" s="30">
        <f>Mtoe!P49</f>
        <v>1</v>
      </c>
      <c r="AO49" s="30">
        <f>Mtoe!Q49</f>
        <v>1</v>
      </c>
      <c r="AP49" s="30">
        <f>Mtoe!R49</f>
        <v>1</v>
      </c>
      <c r="AQ49" s="30">
        <f>Mtoe!S49</f>
        <v>1</v>
      </c>
      <c r="AR49" s="30">
        <f>Mtoe!T49</f>
        <v>1</v>
      </c>
      <c r="AS49" s="30">
        <f>Mtoe!U49</f>
        <v>1</v>
      </c>
      <c r="AT49" s="30">
        <f>Mtoe!V49</f>
        <v>1</v>
      </c>
      <c r="AU49" s="30">
        <f>Mtoe!W49</f>
        <v>1</v>
      </c>
      <c r="AV49" s="30">
        <f>Mtoe!X49</f>
        <v>1</v>
      </c>
      <c r="AW49" s="36"/>
      <c r="AX49" s="3" t="s">
        <v>37</v>
      </c>
      <c r="AY49" s="209"/>
      <c r="AZ49" s="209"/>
      <c r="BA49" s="209">
        <f aca="true" t="shared" si="28" ref="BA49:BA56">AO49*D49</f>
        <v>0</v>
      </c>
      <c r="BB49" s="209"/>
      <c r="BC49" s="209"/>
      <c r="BD49" s="209"/>
      <c r="BE49" s="209"/>
      <c r="BF49" s="209"/>
      <c r="BG49" s="209"/>
      <c r="BH49" s="209"/>
      <c r="BI49" s="215">
        <f t="shared" si="8"/>
        <v>0</v>
      </c>
      <c r="BJ49" s="33"/>
      <c r="BK49" s="202" t="s">
        <v>37</v>
      </c>
      <c r="BL49" s="205"/>
      <c r="BM49" s="157"/>
      <c r="BN49" s="157">
        <f>BA49*BN$6</f>
        <v>0</v>
      </c>
      <c r="BO49" s="157">
        <f>BB49*BO$6</f>
        <v>0</v>
      </c>
      <c r="BP49" s="157"/>
      <c r="BQ49" s="157"/>
      <c r="BR49" s="157"/>
      <c r="BS49" s="157">
        <f t="shared" si="22"/>
        <v>0</v>
      </c>
      <c r="BT49" s="157" t="e">
        <f aca="true" t="shared" si="29" ref="BT49:BU56">BT$32*BG49/BG$32</f>
        <v>#DIV/0!</v>
      </c>
      <c r="BU49" s="157" t="e">
        <f t="shared" si="29"/>
        <v>#DIV/0!</v>
      </c>
      <c r="BV49" s="158" t="e">
        <f aca="true" t="shared" si="30" ref="BV49:BV56">SUM(BL49:BU49)</f>
        <v>#DIV/0!</v>
      </c>
      <c r="BW49" s="4" t="e">
        <f t="shared" si="16"/>
        <v>#DIV/0!</v>
      </c>
      <c r="BX49" s="4" t="s">
        <v>110</v>
      </c>
      <c r="BY49" s="4">
        <v>0.7427901929440426</v>
      </c>
      <c r="BZ49" t="s">
        <v>110</v>
      </c>
    </row>
    <row r="50" spans="1:78" ht="12.75">
      <c r="A50" s="64" t="s">
        <v>119</v>
      </c>
      <c r="B50" s="65"/>
      <c r="C50" s="65"/>
      <c r="D50" s="65"/>
      <c r="E50" s="65"/>
      <c r="F50" s="65"/>
      <c r="G50" s="65"/>
      <c r="H50" s="65"/>
      <c r="I50" s="65"/>
      <c r="J50" s="252"/>
      <c r="K50" s="65"/>
      <c r="L50" s="75"/>
      <c r="N50" s="65"/>
      <c r="O50" s="65"/>
      <c r="P50" s="65"/>
      <c r="Q50" s="65"/>
      <c r="R50" s="65"/>
      <c r="S50" s="65"/>
      <c r="T50" s="65"/>
      <c r="U50" s="65"/>
      <c r="V50" s="65"/>
      <c r="W50" s="65"/>
      <c r="X50" s="75"/>
      <c r="Z50" s="65"/>
      <c r="AA50" s="65"/>
      <c r="AB50" s="65"/>
      <c r="AC50" s="65"/>
      <c r="AD50" s="65"/>
      <c r="AE50" s="65"/>
      <c r="AF50" s="65"/>
      <c r="AG50" s="65"/>
      <c r="AH50" s="65"/>
      <c r="AI50" s="65"/>
      <c r="AJ50" s="75"/>
      <c r="AL50" s="3" t="s">
        <v>122</v>
      </c>
      <c r="AM50" s="30">
        <f>Mtoe!O50</f>
        <v>1</v>
      </c>
      <c r="AN50" s="30">
        <f>Mtoe!P50</f>
        <v>1</v>
      </c>
      <c r="AO50" s="30">
        <f>Mtoe!Q50</f>
        <v>1</v>
      </c>
      <c r="AP50" s="30">
        <f>Mtoe!R50</f>
        <v>1</v>
      </c>
      <c r="AQ50" s="30">
        <f>Mtoe!S50</f>
        <v>1</v>
      </c>
      <c r="AR50" s="30">
        <f>Mtoe!T50</f>
        <v>1</v>
      </c>
      <c r="AS50" s="30">
        <f>Mtoe!U50</f>
        <v>1</v>
      </c>
      <c r="AT50" s="30">
        <f>Mtoe!V50</f>
        <v>1</v>
      </c>
      <c r="AU50" s="30">
        <f>Mtoe!W50</f>
        <v>1</v>
      </c>
      <c r="AV50" s="30">
        <f>Mtoe!X50</f>
        <v>1</v>
      </c>
      <c r="AW50" s="36"/>
      <c r="AX50" s="3" t="s">
        <v>122</v>
      </c>
      <c r="AY50" s="209"/>
      <c r="AZ50" s="209"/>
      <c r="BA50" s="209">
        <f t="shared" si="28"/>
        <v>0</v>
      </c>
      <c r="BB50" s="209"/>
      <c r="BC50" s="209"/>
      <c r="BD50" s="209"/>
      <c r="BE50" s="209"/>
      <c r="BF50" s="209"/>
      <c r="BG50" s="209"/>
      <c r="BH50" s="209"/>
      <c r="BI50" s="215">
        <f t="shared" si="8"/>
        <v>0</v>
      </c>
      <c r="BJ50" s="33"/>
      <c r="BK50" s="203" t="s">
        <v>122</v>
      </c>
      <c r="BL50" s="205"/>
      <c r="BM50" s="157"/>
      <c r="BN50" s="157">
        <f aca="true" t="shared" si="31" ref="BN50:BN56">BA50*BN$6</f>
        <v>0</v>
      </c>
      <c r="BO50" s="157"/>
      <c r="BP50" s="157"/>
      <c r="BQ50" s="157"/>
      <c r="BR50" s="157"/>
      <c r="BS50" s="157"/>
      <c r="BT50" s="157"/>
      <c r="BU50" s="157"/>
      <c r="BV50" s="158">
        <f t="shared" si="30"/>
        <v>0</v>
      </c>
      <c r="BW50" s="4" t="e">
        <f t="shared" si="16"/>
        <v>#DIV/0!</v>
      </c>
      <c r="BX50" s="4" t="s">
        <v>110</v>
      </c>
      <c r="BY50" s="4">
        <v>3.1033177860317247</v>
      </c>
      <c r="BZ50" t="s">
        <v>110</v>
      </c>
    </row>
    <row r="51" spans="1:78" ht="12.75">
      <c r="A51" s="64" t="s">
        <v>38</v>
      </c>
      <c r="B51" s="65"/>
      <c r="C51" s="65"/>
      <c r="D51" s="65"/>
      <c r="E51" s="65"/>
      <c r="F51" s="65"/>
      <c r="G51" s="65"/>
      <c r="H51" s="65"/>
      <c r="I51" s="65"/>
      <c r="J51" s="252"/>
      <c r="K51" s="65"/>
      <c r="L51" s="71"/>
      <c r="N51" s="65"/>
      <c r="O51" s="65"/>
      <c r="P51" s="65"/>
      <c r="Q51" s="65"/>
      <c r="R51" s="65"/>
      <c r="S51" s="65"/>
      <c r="T51" s="65"/>
      <c r="U51" s="65"/>
      <c r="V51" s="65"/>
      <c r="W51" s="65"/>
      <c r="X51" s="71"/>
      <c r="Z51" s="65"/>
      <c r="AA51" s="65"/>
      <c r="AB51" s="65"/>
      <c r="AC51" s="65"/>
      <c r="AD51" s="65"/>
      <c r="AE51" s="65"/>
      <c r="AF51" s="65"/>
      <c r="AG51" s="65"/>
      <c r="AH51" s="65"/>
      <c r="AI51" s="65"/>
      <c r="AJ51" s="71"/>
      <c r="AL51" s="3" t="s">
        <v>38</v>
      </c>
      <c r="AM51" s="30">
        <f>Mtoe!O51</f>
        <v>1</v>
      </c>
      <c r="AN51" s="30">
        <f>Mtoe!P51</f>
        <v>1</v>
      </c>
      <c r="AO51" s="30">
        <f>Mtoe!Q51</f>
        <v>1</v>
      </c>
      <c r="AP51" s="30">
        <f>Mtoe!R51</f>
        <v>1</v>
      </c>
      <c r="AQ51" s="30">
        <f>Mtoe!S51</f>
        <v>1</v>
      </c>
      <c r="AR51" s="30">
        <f>Mtoe!T51</f>
        <v>1</v>
      </c>
      <c r="AS51" s="30">
        <f>Mtoe!U51</f>
        <v>1</v>
      </c>
      <c r="AT51" s="30">
        <f>Mtoe!V51</f>
        <v>1</v>
      </c>
      <c r="AU51" s="30">
        <f>Mtoe!W51</f>
        <v>1</v>
      </c>
      <c r="AV51" s="30">
        <f>Mtoe!X51</f>
        <v>1</v>
      </c>
      <c r="AW51" s="36"/>
      <c r="AX51" s="3" t="s">
        <v>38</v>
      </c>
      <c r="AY51" s="209"/>
      <c r="AZ51" s="209"/>
      <c r="BA51" s="209">
        <f t="shared" si="28"/>
        <v>0</v>
      </c>
      <c r="BB51" s="209">
        <f>AP51*E51</f>
        <v>0</v>
      </c>
      <c r="BC51" s="209"/>
      <c r="BD51" s="209"/>
      <c r="BE51" s="209"/>
      <c r="BF51" s="209">
        <f>AT51*I51</f>
        <v>0</v>
      </c>
      <c r="BG51" s="209"/>
      <c r="BH51" s="209"/>
      <c r="BI51" s="215">
        <f t="shared" si="8"/>
        <v>0</v>
      </c>
      <c r="BJ51" s="33"/>
      <c r="BK51" s="202" t="s">
        <v>38</v>
      </c>
      <c r="BL51" s="205"/>
      <c r="BM51" s="157"/>
      <c r="BN51" s="157">
        <f t="shared" si="31"/>
        <v>0</v>
      </c>
      <c r="BO51" s="157">
        <f>BB51*BO$6</f>
        <v>0</v>
      </c>
      <c r="BP51" s="157"/>
      <c r="BQ51" s="157"/>
      <c r="BR51" s="157"/>
      <c r="BS51" s="157">
        <f>BF51*BS$6</f>
        <v>0</v>
      </c>
      <c r="BT51" s="157" t="e">
        <f t="shared" si="29"/>
        <v>#DIV/0!</v>
      </c>
      <c r="BU51" s="157" t="e">
        <f t="shared" si="29"/>
        <v>#DIV/0!</v>
      </c>
      <c r="BV51" s="158" t="e">
        <f t="shared" si="30"/>
        <v>#DIV/0!</v>
      </c>
      <c r="BW51" s="4" t="e">
        <f t="shared" si="16"/>
        <v>#DIV/0!</v>
      </c>
      <c r="BX51" s="4" t="s">
        <v>110</v>
      </c>
      <c r="BY51" s="4">
        <v>21.123989480940242</v>
      </c>
      <c r="BZ51" t="s">
        <v>110</v>
      </c>
    </row>
    <row r="52" spans="1:78" ht="12.75">
      <c r="A52" s="64" t="s">
        <v>39</v>
      </c>
      <c r="B52" s="65">
        <f>($C$4/B$4)*Mtoe!B52*(B103*(100-B153)/10)</f>
        <v>1.12109375</v>
      </c>
      <c r="C52" s="65"/>
      <c r="D52" s="65">
        <f>($C$4/D$4)*Mtoe!D52*(D103*(100-D153)/10)</f>
        <v>1.4398809523809524</v>
      </c>
      <c r="E52" s="65"/>
      <c r="F52" s="65"/>
      <c r="G52" s="65"/>
      <c r="H52" s="65"/>
      <c r="I52" s="65"/>
      <c r="J52" s="252"/>
      <c r="K52" s="65"/>
      <c r="L52" s="71"/>
      <c r="N52" s="65">
        <f>($C$4/B$4)*Mtoe!B52*((130/32)*(N103*(100-N153)/10))</f>
        <v>0.7156982421875</v>
      </c>
      <c r="O52" s="65"/>
      <c r="P52" s="65">
        <f>($C$4/D$4)*Mtoe!D52*((130/32)*(P103*(100-P153)/10))</f>
        <v>23.398065476190474</v>
      </c>
      <c r="Q52" s="65"/>
      <c r="R52" s="65"/>
      <c r="S52" s="65"/>
      <c r="T52" s="65"/>
      <c r="U52" s="65"/>
      <c r="V52" s="65"/>
      <c r="W52" s="65"/>
      <c r="X52" s="71"/>
      <c r="Z52" s="65"/>
      <c r="AA52" s="65"/>
      <c r="AB52" s="65"/>
      <c r="AC52" s="65"/>
      <c r="AD52" s="65"/>
      <c r="AE52" s="65"/>
      <c r="AF52" s="65"/>
      <c r="AG52" s="65"/>
      <c r="AH52" s="65"/>
      <c r="AI52" s="65"/>
      <c r="AJ52" s="71"/>
      <c r="AL52" s="3" t="s">
        <v>39</v>
      </c>
      <c r="AM52" s="30">
        <f>Mtoe!O52</f>
        <v>1</v>
      </c>
      <c r="AN52" s="30">
        <f>Mtoe!P52</f>
        <v>1</v>
      </c>
      <c r="AO52" s="30">
        <f>Mtoe!Q52</f>
        <v>1</v>
      </c>
      <c r="AP52" s="30">
        <f>Mtoe!R52</f>
        <v>1</v>
      </c>
      <c r="AQ52" s="30">
        <f>Mtoe!S52</f>
        <v>1</v>
      </c>
      <c r="AR52" s="30">
        <f>Mtoe!T52</f>
        <v>1</v>
      </c>
      <c r="AS52" s="30">
        <f>Mtoe!U52</f>
        <v>1</v>
      </c>
      <c r="AT52" s="30">
        <f>Mtoe!V52</f>
        <v>1</v>
      </c>
      <c r="AU52" s="30">
        <f>Mtoe!W52</f>
        <v>1</v>
      </c>
      <c r="AV52" s="30">
        <f>Mtoe!X52</f>
        <v>1</v>
      </c>
      <c r="AW52" s="36"/>
      <c r="AX52" s="3" t="s">
        <v>39</v>
      </c>
      <c r="AY52" s="209"/>
      <c r="AZ52" s="209"/>
      <c r="BA52" s="209">
        <f t="shared" si="28"/>
        <v>1.4398809523809524</v>
      </c>
      <c r="BB52" s="209"/>
      <c r="BC52" s="209"/>
      <c r="BD52" s="209"/>
      <c r="BE52" s="209"/>
      <c r="BF52" s="209"/>
      <c r="BG52" s="209">
        <f>AU52*J52</f>
        <v>0</v>
      </c>
      <c r="BH52" s="209"/>
      <c r="BI52" s="215">
        <f t="shared" si="8"/>
        <v>1.4398809523809524</v>
      </c>
      <c r="BJ52" s="33"/>
      <c r="BK52" s="202" t="s">
        <v>39</v>
      </c>
      <c r="BL52" s="205"/>
      <c r="BM52" s="157"/>
      <c r="BN52" s="157">
        <f t="shared" si="31"/>
        <v>4.502464541666666</v>
      </c>
      <c r="BO52" s="157">
        <f>BB52*BO$6</f>
        <v>0</v>
      </c>
      <c r="BP52" s="157"/>
      <c r="BQ52" s="157"/>
      <c r="BR52" s="157"/>
      <c r="BS52" s="157">
        <f>BF52*BS$6</f>
        <v>0</v>
      </c>
      <c r="BT52" s="157" t="e">
        <f t="shared" si="29"/>
        <v>#DIV/0!</v>
      </c>
      <c r="BU52" s="157" t="e">
        <f t="shared" si="29"/>
        <v>#DIV/0!</v>
      </c>
      <c r="BV52" s="158" t="e">
        <f t="shared" si="30"/>
        <v>#DIV/0!</v>
      </c>
      <c r="BW52" s="4" t="e">
        <f t="shared" si="16"/>
        <v>#DIV/0!</v>
      </c>
      <c r="BX52" s="4" t="s">
        <v>110</v>
      </c>
      <c r="BY52" s="4">
        <v>0.6179627607270696</v>
      </c>
      <c r="BZ52" t="s">
        <v>110</v>
      </c>
    </row>
    <row r="53" spans="1:78" ht="12.75">
      <c r="A53" s="64" t="s">
        <v>40</v>
      </c>
      <c r="B53" s="65"/>
      <c r="C53" s="65"/>
      <c r="D53" s="65"/>
      <c r="E53" s="65"/>
      <c r="F53" s="65"/>
      <c r="G53" s="65"/>
      <c r="H53" s="65"/>
      <c r="I53" s="65"/>
      <c r="J53" s="252"/>
      <c r="K53" s="65"/>
      <c r="L53" s="71"/>
      <c r="N53" s="65"/>
      <c r="O53" s="65"/>
      <c r="P53" s="65"/>
      <c r="Q53" s="65"/>
      <c r="R53" s="65"/>
      <c r="S53" s="65"/>
      <c r="T53" s="65"/>
      <c r="U53" s="65"/>
      <c r="V53" s="65"/>
      <c r="W53" s="65"/>
      <c r="X53" s="71"/>
      <c r="Z53" s="65"/>
      <c r="AA53" s="65"/>
      <c r="AB53" s="65"/>
      <c r="AC53" s="65"/>
      <c r="AD53" s="65"/>
      <c r="AE53" s="65"/>
      <c r="AF53" s="65"/>
      <c r="AG53" s="65"/>
      <c r="AH53" s="65"/>
      <c r="AI53" s="65"/>
      <c r="AJ53" s="71"/>
      <c r="AL53" s="3" t="s">
        <v>40</v>
      </c>
      <c r="AM53" s="30">
        <f>Mtoe!O53</f>
        <v>1</v>
      </c>
      <c r="AN53" s="30">
        <f>Mtoe!P53</f>
        <v>1</v>
      </c>
      <c r="AO53" s="30">
        <f>Mtoe!Q53</f>
        <v>1</v>
      </c>
      <c r="AP53" s="30">
        <f>Mtoe!R53</f>
        <v>1</v>
      </c>
      <c r="AQ53" s="30">
        <f>Mtoe!S53</f>
        <v>1</v>
      </c>
      <c r="AR53" s="30">
        <f>Mtoe!T53</f>
        <v>1</v>
      </c>
      <c r="AS53" s="30">
        <f>Mtoe!U53</f>
        <v>1</v>
      </c>
      <c r="AT53" s="30">
        <f>Mtoe!V53</f>
        <v>1</v>
      </c>
      <c r="AU53" s="30">
        <f>Mtoe!W53</f>
        <v>1</v>
      </c>
      <c r="AV53" s="30">
        <f>Mtoe!X53</f>
        <v>1</v>
      </c>
      <c r="AW53" s="36"/>
      <c r="AX53" s="3" t="s">
        <v>40</v>
      </c>
      <c r="AY53" s="209"/>
      <c r="AZ53" s="209"/>
      <c r="BA53" s="209">
        <f t="shared" si="28"/>
        <v>0</v>
      </c>
      <c r="BB53" s="209">
        <f>AP53*E53</f>
        <v>0</v>
      </c>
      <c r="BC53" s="209"/>
      <c r="BD53" s="209"/>
      <c r="BE53" s="209"/>
      <c r="BF53" s="209"/>
      <c r="BG53" s="209">
        <f>AU53*J53</f>
        <v>0</v>
      </c>
      <c r="BH53" s="209"/>
      <c r="BI53" s="215">
        <f t="shared" si="8"/>
        <v>0</v>
      </c>
      <c r="BJ53" s="33"/>
      <c r="BK53" s="202" t="s">
        <v>40</v>
      </c>
      <c r="BL53" s="205"/>
      <c r="BM53" s="157"/>
      <c r="BN53" s="157">
        <f t="shared" si="31"/>
        <v>0</v>
      </c>
      <c r="BO53" s="157">
        <f>BB53*BO$6</f>
        <v>0</v>
      </c>
      <c r="BP53" s="157"/>
      <c r="BQ53" s="157"/>
      <c r="BR53" s="157"/>
      <c r="BS53" s="157">
        <f>BF53*BS$6</f>
        <v>0</v>
      </c>
      <c r="BT53" s="157" t="e">
        <f t="shared" si="29"/>
        <v>#DIV/0!</v>
      </c>
      <c r="BU53" s="157" t="e">
        <f t="shared" si="29"/>
        <v>#DIV/0!</v>
      </c>
      <c r="BV53" s="158" t="e">
        <f t="shared" si="30"/>
        <v>#DIV/0!</v>
      </c>
      <c r="BW53" s="4" t="e">
        <f t="shared" si="16"/>
        <v>#DIV/0!</v>
      </c>
      <c r="BX53" s="4" t="s">
        <v>110</v>
      </c>
      <c r="BY53" s="4">
        <v>0.06506698235283224</v>
      </c>
      <c r="BZ53" t="s">
        <v>110</v>
      </c>
    </row>
    <row r="54" spans="1:78" ht="12.75">
      <c r="A54" s="153" t="s">
        <v>121</v>
      </c>
      <c r="B54" s="65"/>
      <c r="C54" s="65"/>
      <c r="D54" s="65">
        <f>($C$4/D$4)*Mtoe!D54*(D105*(100-D155)/10)</f>
        <v>3.26047619047619</v>
      </c>
      <c r="E54" s="65"/>
      <c r="F54" s="65"/>
      <c r="G54" s="65"/>
      <c r="H54" s="65"/>
      <c r="I54" s="65"/>
      <c r="J54" s="252"/>
      <c r="K54" s="65"/>
      <c r="L54" s="72"/>
      <c r="N54" s="65"/>
      <c r="O54" s="65"/>
      <c r="P54" s="65">
        <f>($C$4/D$4)*Mtoe!D54*((130/32)*(P105*(100-P155)/10))</f>
        <v>662.2842261904761</v>
      </c>
      <c r="Q54" s="65"/>
      <c r="R54" s="65"/>
      <c r="S54" s="65"/>
      <c r="T54" s="65"/>
      <c r="U54" s="65"/>
      <c r="V54" s="65"/>
      <c r="W54" s="65"/>
      <c r="X54" s="72"/>
      <c r="Z54" s="65"/>
      <c r="AA54" s="65"/>
      <c r="AB54" s="65"/>
      <c r="AC54" s="65"/>
      <c r="AD54" s="65"/>
      <c r="AE54" s="65"/>
      <c r="AF54" s="65"/>
      <c r="AG54" s="65"/>
      <c r="AH54" s="65"/>
      <c r="AI54" s="65"/>
      <c r="AJ54" s="72"/>
      <c r="AL54" s="3" t="s">
        <v>41</v>
      </c>
      <c r="AM54" s="30">
        <f>Mtoe!O54</f>
        <v>1</v>
      </c>
      <c r="AN54" s="30">
        <f>Mtoe!P54</f>
        <v>1</v>
      </c>
      <c r="AO54" s="30">
        <f>Mtoe!Q54</f>
        <v>1</v>
      </c>
      <c r="AP54" s="30">
        <f>Mtoe!R54</f>
        <v>1</v>
      </c>
      <c r="AQ54" s="30">
        <f>Mtoe!S54</f>
        <v>1</v>
      </c>
      <c r="AR54" s="30">
        <f>Mtoe!T54</f>
        <v>1</v>
      </c>
      <c r="AS54" s="30">
        <f>Mtoe!U54</f>
        <v>1</v>
      </c>
      <c r="AT54" s="30">
        <f>Mtoe!V54</f>
        <v>1</v>
      </c>
      <c r="AU54" s="30">
        <f>Mtoe!W54</f>
        <v>1</v>
      </c>
      <c r="AV54" s="30">
        <f>Mtoe!X54</f>
        <v>1</v>
      </c>
      <c r="AW54" s="36"/>
      <c r="AX54" s="3" t="s">
        <v>41</v>
      </c>
      <c r="AY54" s="209"/>
      <c r="AZ54" s="209"/>
      <c r="BA54" s="209">
        <f t="shared" si="28"/>
        <v>3.26047619047619</v>
      </c>
      <c r="BB54" s="209"/>
      <c r="BC54" s="209"/>
      <c r="BD54" s="209"/>
      <c r="BE54" s="209"/>
      <c r="BF54" s="209"/>
      <c r="BG54" s="209"/>
      <c r="BH54" s="209"/>
      <c r="BI54" s="215">
        <f t="shared" si="8"/>
        <v>3.26047619047619</v>
      </c>
      <c r="BJ54" s="33"/>
      <c r="BK54" s="202" t="s">
        <v>41</v>
      </c>
      <c r="BL54" s="205"/>
      <c r="BM54" s="157"/>
      <c r="BN54" s="157">
        <f t="shared" si="31"/>
        <v>10.195411233333331</v>
      </c>
      <c r="BO54" s="157">
        <f>BB54*BO$6</f>
        <v>0</v>
      </c>
      <c r="BP54" s="157"/>
      <c r="BQ54" s="157"/>
      <c r="BR54" s="157"/>
      <c r="BS54" s="157">
        <f>BF54*BS$6</f>
        <v>0</v>
      </c>
      <c r="BT54" s="157" t="e">
        <f t="shared" si="29"/>
        <v>#DIV/0!</v>
      </c>
      <c r="BU54" s="157" t="e">
        <f t="shared" si="29"/>
        <v>#DIV/0!</v>
      </c>
      <c r="BV54" s="158" t="e">
        <f t="shared" si="30"/>
        <v>#DIV/0!</v>
      </c>
      <c r="BW54" s="4" t="e">
        <f t="shared" si="16"/>
        <v>#DIV/0!</v>
      </c>
      <c r="BX54" s="4" t="s">
        <v>110</v>
      </c>
      <c r="BY54" s="4">
        <v>0.45272248986005514</v>
      </c>
      <c r="BZ54" t="s">
        <v>110</v>
      </c>
    </row>
    <row r="55" spans="1:78" ht="12.75">
      <c r="A55" s="64" t="s">
        <v>118</v>
      </c>
      <c r="B55" s="65"/>
      <c r="C55" s="65"/>
      <c r="D55" s="65">
        <f>($C$4/D$4)*Mtoe!D55*(D106*(100-D156)/10)</f>
        <v>213.70761904761903</v>
      </c>
      <c r="E55" s="65"/>
      <c r="F55" s="65"/>
      <c r="G55" s="65"/>
      <c r="H55" s="65"/>
      <c r="I55" s="65"/>
      <c r="J55" s="252"/>
      <c r="K55" s="65"/>
      <c r="L55" s="72"/>
      <c r="N55" s="65"/>
      <c r="O55" s="65"/>
      <c r="P55" s="65">
        <f>($C$4/D$4)*Mtoe!D55*((130/32)*(P106*(100-P156)/10))</f>
        <v>5426.170014880952</v>
      </c>
      <c r="Q55" s="65"/>
      <c r="R55" s="65"/>
      <c r="S55" s="65"/>
      <c r="T55" s="65"/>
      <c r="U55" s="65"/>
      <c r="V55" s="65"/>
      <c r="W55" s="65"/>
      <c r="X55" s="72"/>
      <c r="Z55" s="65"/>
      <c r="AA55" s="65"/>
      <c r="AB55" s="65"/>
      <c r="AC55" s="65"/>
      <c r="AD55" s="65"/>
      <c r="AE55" s="65"/>
      <c r="AF55" s="65"/>
      <c r="AG55" s="65"/>
      <c r="AH55" s="65"/>
      <c r="AI55" s="65"/>
      <c r="AJ55" s="72"/>
      <c r="AL55" s="3" t="s">
        <v>118</v>
      </c>
      <c r="AM55" s="30">
        <f>Mtoe!O55</f>
        <v>1</v>
      </c>
      <c r="AN55" s="30">
        <f>Mtoe!P55</f>
        <v>1</v>
      </c>
      <c r="AO55" s="30">
        <f>Mtoe!Q55</f>
        <v>1</v>
      </c>
      <c r="AP55" s="30">
        <f>Mtoe!R55</f>
        <v>1</v>
      </c>
      <c r="AQ55" s="30">
        <f>Mtoe!S55</f>
        <v>1</v>
      </c>
      <c r="AR55" s="30">
        <f>Mtoe!T55</f>
        <v>1</v>
      </c>
      <c r="AS55" s="30">
        <f>Mtoe!U55</f>
        <v>1</v>
      </c>
      <c r="AT55" s="30">
        <f>Mtoe!V55</f>
        <v>1</v>
      </c>
      <c r="AU55" s="30">
        <f>Mtoe!W55</f>
        <v>1</v>
      </c>
      <c r="AV55" s="30">
        <f>Mtoe!X55</f>
        <v>1</v>
      </c>
      <c r="AW55" s="36"/>
      <c r="AX55" s="3" t="s">
        <v>118</v>
      </c>
      <c r="AY55" s="209"/>
      <c r="AZ55" s="209"/>
      <c r="BA55" s="209">
        <f t="shared" si="28"/>
        <v>213.70761904761903</v>
      </c>
      <c r="BB55" s="209"/>
      <c r="BC55" s="209"/>
      <c r="BD55" s="209"/>
      <c r="BE55" s="209"/>
      <c r="BF55" s="209"/>
      <c r="BG55" s="209"/>
      <c r="BH55" s="209"/>
      <c r="BI55" s="215">
        <f t="shared" si="8"/>
        <v>213.70761904761903</v>
      </c>
      <c r="BJ55" s="33"/>
      <c r="BK55" s="203" t="s">
        <v>118</v>
      </c>
      <c r="BL55" s="205"/>
      <c r="BM55" s="157"/>
      <c r="BN55" s="157">
        <f t="shared" si="31"/>
        <v>668.2573135333332</v>
      </c>
      <c r="BO55" s="157"/>
      <c r="BP55" s="157"/>
      <c r="BQ55" s="157"/>
      <c r="BR55" s="157"/>
      <c r="BS55" s="157"/>
      <c r="BT55" s="157"/>
      <c r="BU55" s="157"/>
      <c r="BV55" s="158">
        <f t="shared" si="30"/>
        <v>668.2573135333332</v>
      </c>
      <c r="BW55" s="4" t="e">
        <f t="shared" si="16"/>
        <v>#DIV/0!</v>
      </c>
      <c r="BX55" s="4" t="s">
        <v>110</v>
      </c>
      <c r="BY55" s="4">
        <v>3.709206866772577</v>
      </c>
      <c r="BZ55" t="s">
        <v>110</v>
      </c>
    </row>
    <row r="56" spans="1:78" ht="13.5" thickBot="1">
      <c r="A56" s="73" t="s">
        <v>35</v>
      </c>
      <c r="B56" s="253"/>
      <c r="C56" s="74"/>
      <c r="D56" s="74">
        <f>($C$4/D$4)*Mtoe!D56*(D107*(100-D157)/10)</f>
        <v>0.0732142857142857</v>
      </c>
      <c r="E56" s="74"/>
      <c r="F56" s="74"/>
      <c r="G56" s="74"/>
      <c r="H56" s="74"/>
      <c r="I56" s="74"/>
      <c r="J56" s="271"/>
      <c r="K56" s="74"/>
      <c r="L56" s="96"/>
      <c r="M56" s="371"/>
      <c r="N56" s="74"/>
      <c r="O56" s="74"/>
      <c r="P56" s="74">
        <f>($C$4/D$4)*Mtoe!D56*((130/32)*(P107*(100-P157)/10))</f>
        <v>1.1897321428571428</v>
      </c>
      <c r="Q56" s="74"/>
      <c r="R56" s="74"/>
      <c r="S56" s="74"/>
      <c r="T56" s="74"/>
      <c r="U56" s="74"/>
      <c r="V56" s="74"/>
      <c r="W56" s="70"/>
      <c r="X56" s="96"/>
      <c r="Z56" s="253"/>
      <c r="AA56" s="74"/>
      <c r="AB56" s="74"/>
      <c r="AC56" s="74"/>
      <c r="AD56" s="74"/>
      <c r="AE56" s="74"/>
      <c r="AF56" s="74"/>
      <c r="AG56" s="74"/>
      <c r="AH56" s="74"/>
      <c r="AI56" s="70"/>
      <c r="AJ56" s="96"/>
      <c r="AL56" s="6" t="s">
        <v>35</v>
      </c>
      <c r="AM56" s="30">
        <f>Mtoe!O56</f>
        <v>1</v>
      </c>
      <c r="AN56" s="30">
        <f>Mtoe!P56</f>
        <v>1</v>
      </c>
      <c r="AO56" s="30">
        <f>Mtoe!Q56</f>
        <v>1</v>
      </c>
      <c r="AP56" s="30">
        <f>Mtoe!R56</f>
        <v>1</v>
      </c>
      <c r="AQ56" s="30">
        <f>Mtoe!S56</f>
        <v>1</v>
      </c>
      <c r="AR56" s="30">
        <f>Mtoe!T56</f>
        <v>1</v>
      </c>
      <c r="AS56" s="30">
        <f>Mtoe!U56</f>
        <v>1</v>
      </c>
      <c r="AT56" s="30">
        <f>Mtoe!V56</f>
        <v>1</v>
      </c>
      <c r="AU56" s="30">
        <f>Mtoe!W56</f>
        <v>1</v>
      </c>
      <c r="AV56" s="30">
        <f>Mtoe!X56</f>
        <v>1</v>
      </c>
      <c r="AW56" s="41"/>
      <c r="AX56" s="6" t="s">
        <v>35</v>
      </c>
      <c r="AY56" s="219"/>
      <c r="AZ56" s="219"/>
      <c r="BA56" s="219">
        <f t="shared" si="28"/>
        <v>0.0732142857142857</v>
      </c>
      <c r="BB56" s="219">
        <f>AP56*E56</f>
        <v>0</v>
      </c>
      <c r="BC56" s="219"/>
      <c r="BD56" s="219"/>
      <c r="BE56" s="219"/>
      <c r="BF56" s="219"/>
      <c r="BG56" s="219">
        <f>AU56*J56</f>
        <v>0</v>
      </c>
      <c r="BH56" s="219"/>
      <c r="BI56" s="220">
        <f t="shared" si="8"/>
        <v>0.0732142857142857</v>
      </c>
      <c r="BJ56" s="33"/>
      <c r="BK56" s="204" t="s">
        <v>35</v>
      </c>
      <c r="BL56" s="161"/>
      <c r="BM56" s="162"/>
      <c r="BN56" s="162">
        <f t="shared" si="31"/>
        <v>0.22893887499999993</v>
      </c>
      <c r="BO56" s="162">
        <f>BB56*BO$6</f>
        <v>0</v>
      </c>
      <c r="BP56" s="162"/>
      <c r="BQ56" s="162"/>
      <c r="BR56" s="162"/>
      <c r="BS56" s="162">
        <f>BF56*BS$6</f>
        <v>0</v>
      </c>
      <c r="BT56" s="162" t="e">
        <f t="shared" si="29"/>
        <v>#DIV/0!</v>
      </c>
      <c r="BU56" s="162" t="e">
        <f t="shared" si="29"/>
        <v>#DIV/0!</v>
      </c>
      <c r="BV56" s="163" t="e">
        <f t="shared" si="30"/>
        <v>#DIV/0!</v>
      </c>
      <c r="BW56" s="195" t="e">
        <f t="shared" si="16"/>
        <v>#DIV/0!</v>
      </c>
      <c r="BX56" s="193" t="s">
        <v>110</v>
      </c>
      <c r="BY56" s="193">
        <v>0.11776432660704958</v>
      </c>
      <c r="BZ56" s="182" t="s">
        <v>110</v>
      </c>
    </row>
    <row r="57" spans="1:78" ht="12.75">
      <c r="A57" s="71" t="s">
        <v>42</v>
      </c>
      <c r="B57" s="65"/>
      <c r="C57" s="65"/>
      <c r="D57" s="65"/>
      <c r="E57" s="72"/>
      <c r="F57" s="72"/>
      <c r="G57" s="72"/>
      <c r="H57" s="72"/>
      <c r="I57" s="65"/>
      <c r="J57" s="252"/>
      <c r="K57" s="75"/>
      <c r="L57" s="71"/>
      <c r="N57" s="65"/>
      <c r="O57" s="65"/>
      <c r="P57" s="65"/>
      <c r="Q57" s="72"/>
      <c r="R57" s="72"/>
      <c r="S57" s="72"/>
      <c r="T57" s="72"/>
      <c r="U57" s="65"/>
      <c r="V57" s="72"/>
      <c r="W57" s="122"/>
      <c r="X57" s="71"/>
      <c r="Z57" s="72"/>
      <c r="AA57" s="72"/>
      <c r="AB57" s="72"/>
      <c r="AC57" s="72"/>
      <c r="AD57" s="72"/>
      <c r="AE57" s="72"/>
      <c r="AF57" s="72"/>
      <c r="AG57" s="72"/>
      <c r="AH57" s="72"/>
      <c r="AI57" s="122"/>
      <c r="AJ57" s="71"/>
      <c r="AL57" s="5" t="s">
        <v>42</v>
      </c>
      <c r="AM57" s="15"/>
      <c r="AN57" s="15"/>
      <c r="AO57" s="15"/>
      <c r="AP57" s="15"/>
      <c r="AQ57" s="15"/>
      <c r="AR57" s="15"/>
      <c r="AS57" s="15"/>
      <c r="AT57" s="15"/>
      <c r="AU57" s="15"/>
      <c r="AV57" s="15"/>
      <c r="AW57" s="40"/>
      <c r="AX57" s="5" t="s">
        <v>42</v>
      </c>
      <c r="AY57" s="218">
        <f>SUM(AY58:AY62)</f>
        <v>1497.78125</v>
      </c>
      <c r="AZ57" s="218">
        <f>SUM(AZ58:AZ62)</f>
        <v>0</v>
      </c>
      <c r="BA57" s="218">
        <f aca="true" t="shared" si="32" ref="BA57:BI57">SUM(BA58:BA62)</f>
        <v>40.375238095238096</v>
      </c>
      <c r="BB57" s="218">
        <f t="shared" si="32"/>
        <v>0</v>
      </c>
      <c r="BC57" s="218">
        <f>SUM(BC58:BC62)</f>
        <v>0</v>
      </c>
      <c r="BD57" s="218">
        <f>SUM(BD58:BD62)</f>
        <v>0</v>
      </c>
      <c r="BE57" s="218">
        <f>SUM(BE58:BE62)</f>
        <v>0</v>
      </c>
      <c r="BF57" s="218">
        <f t="shared" si="32"/>
        <v>3161.9785714285717</v>
      </c>
      <c r="BG57" s="218">
        <f t="shared" si="32"/>
        <v>0</v>
      </c>
      <c r="BH57" s="218">
        <f t="shared" si="32"/>
        <v>0</v>
      </c>
      <c r="BI57" s="215">
        <f t="shared" si="32"/>
        <v>4700.135059523809</v>
      </c>
      <c r="BJ57" s="33"/>
      <c r="BK57" s="112" t="s">
        <v>42</v>
      </c>
      <c r="BL57" s="160">
        <f aca="true" t="shared" si="33" ref="BL57:BU57">SUM(BL58:BL62)</f>
        <v>5778.3651734375</v>
      </c>
      <c r="BM57" s="160">
        <f t="shared" si="33"/>
        <v>0</v>
      </c>
      <c r="BN57" s="160">
        <f t="shared" si="33"/>
        <v>126.25215826666665</v>
      </c>
      <c r="BO57" s="160">
        <f t="shared" si="33"/>
        <v>0</v>
      </c>
      <c r="BP57" s="160">
        <f t="shared" si="33"/>
        <v>0</v>
      </c>
      <c r="BQ57" s="160">
        <f t="shared" si="33"/>
        <v>0</v>
      </c>
      <c r="BR57" s="160">
        <f t="shared" si="33"/>
        <v>0</v>
      </c>
      <c r="BS57" s="160">
        <f t="shared" si="33"/>
        <v>15152.138074714283</v>
      </c>
      <c r="BT57" s="160" t="e">
        <f>SUM(BT58:BT62)</f>
        <v>#DIV/0!</v>
      </c>
      <c r="BU57" s="160" t="e">
        <f t="shared" si="33"/>
        <v>#DIV/0!</v>
      </c>
      <c r="BV57" s="158" t="e">
        <f>SUM(BV58:BV62)</f>
        <v>#DIV/0!</v>
      </c>
      <c r="BW57" s="15" t="e">
        <f t="shared" si="16"/>
        <v>#DIV/0!</v>
      </c>
      <c r="BX57" s="4" t="s">
        <v>110</v>
      </c>
      <c r="BY57" s="4">
        <v>30.489256662494174</v>
      </c>
      <c r="BZ57" t="s">
        <v>110</v>
      </c>
    </row>
    <row r="58" spans="1:78" ht="12.75">
      <c r="A58" s="64" t="s">
        <v>43</v>
      </c>
      <c r="B58" s="65">
        <f>($C$4/B$4)*Mtoe!B58*(B109*(100-B159)/10)</f>
        <v>1236.56640625</v>
      </c>
      <c r="C58" s="65"/>
      <c r="D58" s="65">
        <f>($C$4/D$4)*Mtoe!D58*(D109*(100-D159)/10)</f>
        <v>22.374285714285715</v>
      </c>
      <c r="E58" s="65"/>
      <c r="F58" s="65"/>
      <c r="G58" s="65"/>
      <c r="H58" s="65"/>
      <c r="I58" s="65">
        <f>($C$4/I$4)*Mtoe!I58*(I109*(100-I159)/10)</f>
        <v>2836.907142857143</v>
      </c>
      <c r="J58" s="252"/>
      <c r="K58" s="121"/>
      <c r="L58" s="71"/>
      <c r="N58" s="65">
        <f>($C$4/B$4)*Mtoe!B58*((130/32)*(N109*(100-N159)/10))</f>
        <v>789.4151611328126</v>
      </c>
      <c r="O58" s="65"/>
      <c r="P58" s="65">
        <f>($C$4/D$4)*Mtoe!D58*((130/32)*(P109*(100-P159)/10))</f>
        <v>363.58214285714286</v>
      </c>
      <c r="Q58" s="65"/>
      <c r="R58" s="65"/>
      <c r="S58" s="65"/>
      <c r="T58" s="65"/>
      <c r="U58" s="65">
        <f>($C$4/I$4)*Mtoe!I58*((130/32)*(U109*(100-U159)/10))</f>
        <v>768.3290178571428</v>
      </c>
      <c r="V58" s="65"/>
      <c r="W58" s="121"/>
      <c r="X58" s="71"/>
      <c r="Z58" s="65">
        <f>Mtoe!B58*(Z109*(100-Z159)/100000)</f>
        <v>772.0999999999999</v>
      </c>
      <c r="AA58" s="65"/>
      <c r="AB58" s="65">
        <f>Mtoe!D58*(AB109*(100-AB159)/100000)</f>
        <v>91.68</v>
      </c>
      <c r="AC58" s="65"/>
      <c r="AD58" s="65"/>
      <c r="AE58" s="65"/>
      <c r="AF58" s="65"/>
      <c r="AG58" s="65"/>
      <c r="AH58" s="65"/>
      <c r="AI58" s="121"/>
      <c r="AJ58" s="71"/>
      <c r="AL58" s="3" t="s">
        <v>43</v>
      </c>
      <c r="AM58" s="30">
        <f>Mtoe!O58</f>
        <v>1</v>
      </c>
      <c r="AN58" s="30">
        <f>Mtoe!P58</f>
        <v>1</v>
      </c>
      <c r="AO58" s="30">
        <f>Mtoe!Q58</f>
        <v>1</v>
      </c>
      <c r="AP58" s="30">
        <f>Mtoe!R58</f>
        <v>1</v>
      </c>
      <c r="AQ58" s="30">
        <f>Mtoe!S58</f>
        <v>1</v>
      </c>
      <c r="AR58" s="30">
        <f>Mtoe!T58</f>
        <v>1</v>
      </c>
      <c r="AS58" s="30">
        <f>Mtoe!U58</f>
        <v>1</v>
      </c>
      <c r="AT58" s="30">
        <f>Mtoe!V58</f>
        <v>1</v>
      </c>
      <c r="AU58" s="30">
        <f>Mtoe!W58</f>
        <v>1</v>
      </c>
      <c r="AV58" s="30">
        <f>Mtoe!X58</f>
        <v>1</v>
      </c>
      <c r="AW58" s="36"/>
      <c r="AX58" s="3" t="s">
        <v>43</v>
      </c>
      <c r="AY58" s="209">
        <f>AM58*B58</f>
        <v>1236.56640625</v>
      </c>
      <c r="AZ58" s="209"/>
      <c r="BA58" s="209">
        <f aca="true" t="shared" si="34" ref="BA58:BB60">AO58*D58</f>
        <v>22.374285714285715</v>
      </c>
      <c r="BB58" s="209">
        <f t="shared" si="34"/>
        <v>0</v>
      </c>
      <c r="BC58" s="209"/>
      <c r="BD58" s="209"/>
      <c r="BE58" s="209"/>
      <c r="BF58" s="209">
        <f aca="true" t="shared" si="35" ref="BF58:BH60">AT58*I58</f>
        <v>2836.907142857143</v>
      </c>
      <c r="BG58" s="209">
        <f t="shared" si="35"/>
        <v>0</v>
      </c>
      <c r="BH58" s="209">
        <f t="shared" si="35"/>
        <v>0</v>
      </c>
      <c r="BI58" s="215">
        <f t="shared" si="8"/>
        <v>4095.8478348214285</v>
      </c>
      <c r="BJ58" s="33"/>
      <c r="BK58" s="110" t="s">
        <v>43</v>
      </c>
      <c r="BL58" s="157">
        <f aca="true" t="shared" si="36" ref="BL58:BO62">AY58*BL$6</f>
        <v>4770.611366992187</v>
      </c>
      <c r="BM58" s="157">
        <f t="shared" si="36"/>
        <v>0</v>
      </c>
      <c r="BN58" s="157">
        <f t="shared" si="36"/>
        <v>69.9637202</v>
      </c>
      <c r="BO58" s="157">
        <f t="shared" si="36"/>
        <v>0</v>
      </c>
      <c r="BP58" s="157"/>
      <c r="BQ58" s="157"/>
      <c r="BR58" s="157"/>
      <c r="BS58" s="157">
        <f>BF58*BS$6</f>
        <v>13594.40229042857</v>
      </c>
      <c r="BT58" s="157" t="e">
        <f aca="true" t="shared" si="37" ref="BT58:BU62">BT$32*BG58/BG$32</f>
        <v>#DIV/0!</v>
      </c>
      <c r="BU58" s="157" t="e">
        <f t="shared" si="37"/>
        <v>#DIV/0!</v>
      </c>
      <c r="BV58" s="158" t="e">
        <f>SUM(BL58:BU58)</f>
        <v>#DIV/0!</v>
      </c>
      <c r="BW58" s="4" t="e">
        <f t="shared" si="16"/>
        <v>#DIV/0!</v>
      </c>
      <c r="BX58" s="4" t="s">
        <v>110</v>
      </c>
      <c r="BY58" s="4">
        <v>16.89005536697862</v>
      </c>
      <c r="BZ58" t="s">
        <v>110</v>
      </c>
    </row>
    <row r="59" spans="1:78" ht="12.75">
      <c r="A59" s="64" t="s">
        <v>44</v>
      </c>
      <c r="B59" s="65">
        <f>($C$4/B$4)*Mtoe!B59*(B110*(100-B160)/10)</f>
        <v>140.13671875</v>
      </c>
      <c r="C59" s="65"/>
      <c r="D59" s="65">
        <f>($C$4/D$4)*Mtoe!D59*(D110*(100-D160)/10)</f>
        <v>8.375714285714286</v>
      </c>
      <c r="E59" s="65"/>
      <c r="F59" s="65"/>
      <c r="G59" s="65"/>
      <c r="H59" s="65"/>
      <c r="I59" s="65">
        <f>($C$4/I$4)*Mtoe!I59*(I110*(100-I160)/10)</f>
        <v>188.8928571428571</v>
      </c>
      <c r="J59" s="252"/>
      <c r="K59" s="121"/>
      <c r="L59" s="71"/>
      <c r="N59" s="65">
        <f>($C$4/B$4)*Mtoe!B59*((130/32)*(N110*(100-N160)/10))</f>
        <v>89.46228027343751</v>
      </c>
      <c r="O59" s="65"/>
      <c r="P59" s="65">
        <f>($C$4/D$4)*Mtoe!D59*((130/32)*(P110*(100-P160)/10))</f>
        <v>136.10535714285714</v>
      </c>
      <c r="Q59" s="65"/>
      <c r="R59" s="65"/>
      <c r="S59" s="65"/>
      <c r="T59" s="65"/>
      <c r="U59" s="65">
        <f>($C$4/I$4)*Mtoe!I59*((130/32)*(U110*(100-U160)/10))</f>
        <v>51.15848214285714</v>
      </c>
      <c r="V59" s="65"/>
      <c r="W59" s="121"/>
      <c r="X59" s="71"/>
      <c r="Z59" s="65"/>
      <c r="AA59" s="65"/>
      <c r="AB59" s="65"/>
      <c r="AC59" s="65"/>
      <c r="AD59" s="65"/>
      <c r="AE59" s="65"/>
      <c r="AF59" s="65"/>
      <c r="AG59" s="65"/>
      <c r="AH59" s="65"/>
      <c r="AI59" s="121"/>
      <c r="AJ59" s="71"/>
      <c r="AL59" s="3" t="s">
        <v>44</v>
      </c>
      <c r="AM59" s="30">
        <f>Mtoe!O59</f>
        <v>1</v>
      </c>
      <c r="AN59" s="30">
        <f>Mtoe!P59</f>
        <v>1</v>
      </c>
      <c r="AO59" s="30">
        <f>Mtoe!Q59</f>
        <v>1</v>
      </c>
      <c r="AP59" s="30">
        <f>Mtoe!R59</f>
        <v>1</v>
      </c>
      <c r="AQ59" s="30">
        <f>Mtoe!S59</f>
        <v>1</v>
      </c>
      <c r="AR59" s="30">
        <f>Mtoe!T59</f>
        <v>1</v>
      </c>
      <c r="AS59" s="30">
        <f>Mtoe!U59</f>
        <v>1</v>
      </c>
      <c r="AT59" s="30">
        <f>Mtoe!V59</f>
        <v>1</v>
      </c>
      <c r="AU59" s="30">
        <f>Mtoe!W59</f>
        <v>1</v>
      </c>
      <c r="AV59" s="30">
        <f>Mtoe!X59</f>
        <v>1</v>
      </c>
      <c r="AW59" s="36"/>
      <c r="AX59" s="3" t="s">
        <v>44</v>
      </c>
      <c r="AY59" s="209">
        <f>AM59*B59</f>
        <v>140.13671875</v>
      </c>
      <c r="AZ59" s="209"/>
      <c r="BA59" s="209">
        <f t="shared" si="34"/>
        <v>8.375714285714286</v>
      </c>
      <c r="BB59" s="209">
        <f t="shared" si="34"/>
        <v>0</v>
      </c>
      <c r="BC59" s="209"/>
      <c r="BD59" s="209"/>
      <c r="BE59" s="209"/>
      <c r="BF59" s="209">
        <f t="shared" si="35"/>
        <v>188.8928571428571</v>
      </c>
      <c r="BG59" s="209">
        <f t="shared" si="35"/>
        <v>0</v>
      </c>
      <c r="BH59" s="211">
        <f t="shared" si="35"/>
        <v>0</v>
      </c>
      <c r="BI59" s="215">
        <f t="shared" si="8"/>
        <v>337.40529017857136</v>
      </c>
      <c r="BJ59" s="33"/>
      <c r="BK59" s="110" t="s">
        <v>44</v>
      </c>
      <c r="BL59" s="157">
        <f t="shared" si="36"/>
        <v>540.6404541015625</v>
      </c>
      <c r="BM59" s="157">
        <f t="shared" si="36"/>
        <v>0</v>
      </c>
      <c r="BN59" s="157">
        <f t="shared" si="36"/>
        <v>26.1906073</v>
      </c>
      <c r="BO59" s="157">
        <f t="shared" si="36"/>
        <v>0</v>
      </c>
      <c r="BP59" s="157"/>
      <c r="BQ59" s="157"/>
      <c r="BR59" s="157"/>
      <c r="BS59" s="157">
        <f>BF59*BS$6</f>
        <v>905.1707935714284</v>
      </c>
      <c r="BT59" s="157" t="e">
        <f t="shared" si="37"/>
        <v>#DIV/0!</v>
      </c>
      <c r="BU59" s="157" t="e">
        <f t="shared" si="37"/>
        <v>#DIV/0!</v>
      </c>
      <c r="BV59" s="158" t="e">
        <f>SUM(BL59:BU59)</f>
        <v>#DIV/0!</v>
      </c>
      <c r="BW59" s="4" t="e">
        <f t="shared" si="16"/>
        <v>#DIV/0!</v>
      </c>
      <c r="BX59" s="4" t="s">
        <v>110</v>
      </c>
      <c r="BY59" s="4">
        <v>9.372445368468192</v>
      </c>
      <c r="BZ59" t="s">
        <v>110</v>
      </c>
    </row>
    <row r="60" spans="1:78" ht="12.75">
      <c r="A60" s="64" t="s">
        <v>45</v>
      </c>
      <c r="B60" s="65">
        <f>($C$4/B$4)*Mtoe!B60*(B111*(100-B161)/10)</f>
        <v>121.078125</v>
      </c>
      <c r="C60" s="65"/>
      <c r="D60" s="65">
        <f>($C$4/D$4)*Mtoe!D60*(D111*(100-D161)/10)</f>
        <v>8.805238095238094</v>
      </c>
      <c r="E60" s="65"/>
      <c r="F60" s="65"/>
      <c r="G60" s="65"/>
      <c r="H60" s="65"/>
      <c r="I60" s="65">
        <f>($C$4/I$4)*Mtoe!I60*(I111*(100-I161)/10)</f>
        <v>136.17857142857142</v>
      </c>
      <c r="J60" s="252"/>
      <c r="K60" s="121"/>
      <c r="L60" s="71"/>
      <c r="N60" s="65">
        <f>($C$4/B$4)*Mtoe!B60*((130/32)*(N111*(100-N161)/10))</f>
        <v>77.29541015625001</v>
      </c>
      <c r="O60" s="65"/>
      <c r="P60" s="65">
        <f>($C$4/D$4)*Mtoe!D60*((130/32)*(P111*(100-P161)/10))</f>
        <v>143.08511904761903</v>
      </c>
      <c r="Q60" s="65"/>
      <c r="R60" s="65"/>
      <c r="S60" s="65"/>
      <c r="T60" s="65"/>
      <c r="U60" s="65">
        <f>($C$4/I$4)*Mtoe!I60*((130/32)*(U111*(100-U161)/10))</f>
        <v>36.88169642857142</v>
      </c>
      <c r="V60" s="65"/>
      <c r="W60" s="121"/>
      <c r="X60" s="71"/>
      <c r="Z60" s="65"/>
      <c r="AA60" s="65"/>
      <c r="AB60" s="65"/>
      <c r="AC60" s="65"/>
      <c r="AD60" s="65"/>
      <c r="AE60" s="65"/>
      <c r="AF60" s="65"/>
      <c r="AG60" s="65"/>
      <c r="AH60" s="65"/>
      <c r="AI60" s="121"/>
      <c r="AJ60" s="71"/>
      <c r="AL60" s="3" t="s">
        <v>45</v>
      </c>
      <c r="AM60" s="30">
        <f>Mtoe!O60</f>
        <v>1</v>
      </c>
      <c r="AN60" s="30">
        <f>Mtoe!P60</f>
        <v>1</v>
      </c>
      <c r="AO60" s="30">
        <f>Mtoe!Q60</f>
        <v>1</v>
      </c>
      <c r="AP60" s="30">
        <f>Mtoe!R60</f>
        <v>1</v>
      </c>
      <c r="AQ60" s="30">
        <f>Mtoe!S60</f>
        <v>1</v>
      </c>
      <c r="AR60" s="30">
        <f>Mtoe!T60</f>
        <v>1</v>
      </c>
      <c r="AS60" s="30">
        <f>Mtoe!U60</f>
        <v>1</v>
      </c>
      <c r="AT60" s="30">
        <f>Mtoe!V60</f>
        <v>1</v>
      </c>
      <c r="AU60" s="30">
        <f>Mtoe!W60</f>
        <v>1</v>
      </c>
      <c r="AV60" s="30">
        <f>Mtoe!X60</f>
        <v>1</v>
      </c>
      <c r="AW60" s="36"/>
      <c r="AX60" s="3" t="s">
        <v>45</v>
      </c>
      <c r="AY60" s="209">
        <f>AM60*B60</f>
        <v>121.078125</v>
      </c>
      <c r="AZ60" s="209"/>
      <c r="BA60" s="209">
        <f t="shared" si="34"/>
        <v>8.805238095238094</v>
      </c>
      <c r="BB60" s="209">
        <f t="shared" si="34"/>
        <v>0</v>
      </c>
      <c r="BC60" s="209"/>
      <c r="BD60" s="209"/>
      <c r="BE60" s="209"/>
      <c r="BF60" s="209">
        <f t="shared" si="35"/>
        <v>136.17857142857142</v>
      </c>
      <c r="BG60" s="209">
        <f t="shared" si="35"/>
        <v>0</v>
      </c>
      <c r="BH60" s="211">
        <f t="shared" si="35"/>
        <v>0</v>
      </c>
      <c r="BI60" s="215">
        <f t="shared" si="8"/>
        <v>266.0619345238095</v>
      </c>
      <c r="BJ60" s="33"/>
      <c r="BK60" s="110" t="s">
        <v>45</v>
      </c>
      <c r="BL60" s="157">
        <f t="shared" si="36"/>
        <v>467.11335234374997</v>
      </c>
      <c r="BM60" s="157">
        <f t="shared" si="36"/>
        <v>0</v>
      </c>
      <c r="BN60" s="157">
        <f t="shared" si="36"/>
        <v>27.53371536666666</v>
      </c>
      <c r="BO60" s="157">
        <f t="shared" si="36"/>
        <v>0</v>
      </c>
      <c r="BP60" s="157"/>
      <c r="BQ60" s="157"/>
      <c r="BR60" s="157"/>
      <c r="BS60" s="157">
        <f>BF60*BS$6</f>
        <v>652.5649907142856</v>
      </c>
      <c r="BT60" s="157" t="e">
        <f t="shared" si="37"/>
        <v>#DIV/0!</v>
      </c>
      <c r="BU60" s="157" t="e">
        <f t="shared" si="37"/>
        <v>#DIV/0!</v>
      </c>
      <c r="BV60" s="158" t="e">
        <f>SUM(BL60:BU60)</f>
        <v>#DIV/0!</v>
      </c>
      <c r="BW60" s="4" t="e">
        <f t="shared" si="16"/>
        <v>#DIV/0!</v>
      </c>
      <c r="BX60" s="4" t="s">
        <v>110</v>
      </c>
      <c r="BY60" s="4">
        <v>1.9640718629944691</v>
      </c>
      <c r="BZ60" t="s">
        <v>110</v>
      </c>
    </row>
    <row r="61" spans="1:78" ht="12.75">
      <c r="A61" s="64" t="s">
        <v>46</v>
      </c>
      <c r="B61" s="65"/>
      <c r="C61" s="65"/>
      <c r="D61" s="65">
        <f>($C$4/D$4)*Mtoe!D61*(D112*(100-D162)/10)</f>
        <v>0.82</v>
      </c>
      <c r="E61" s="65"/>
      <c r="F61" s="65"/>
      <c r="G61" s="65"/>
      <c r="H61" s="65"/>
      <c r="I61" s="65"/>
      <c r="J61" s="65"/>
      <c r="K61" s="121"/>
      <c r="L61" s="71"/>
      <c r="N61" s="65">
        <f>($C$4/B$4)*Mtoe!B61*((130/32)*(N112*(100-N162)/10))</f>
        <v>0</v>
      </c>
      <c r="O61" s="65"/>
      <c r="P61" s="65">
        <f>($C$4/D$4)*Mtoe!D61*((130/32)*(P112*(100-P162)/10))</f>
        <v>13.325</v>
      </c>
      <c r="Q61" s="65"/>
      <c r="R61" s="65"/>
      <c r="S61" s="65"/>
      <c r="T61" s="65"/>
      <c r="U61" s="65"/>
      <c r="V61" s="65"/>
      <c r="W61" s="121"/>
      <c r="X61" s="71"/>
      <c r="Z61" s="65"/>
      <c r="AA61" s="65"/>
      <c r="AB61" s="65"/>
      <c r="AC61" s="65"/>
      <c r="AD61" s="65"/>
      <c r="AE61" s="65"/>
      <c r="AF61" s="65"/>
      <c r="AG61" s="65"/>
      <c r="AH61" s="65"/>
      <c r="AI61" s="121"/>
      <c r="AJ61" s="71"/>
      <c r="AL61" s="3" t="s">
        <v>46</v>
      </c>
      <c r="AM61" s="30">
        <f>Mtoe!O61</f>
        <v>1</v>
      </c>
      <c r="AN61" s="30">
        <f>Mtoe!P61</f>
        <v>1</v>
      </c>
      <c r="AO61" s="30">
        <f>Mtoe!Q61</f>
        <v>1</v>
      </c>
      <c r="AP61" s="30">
        <f>Mtoe!R61</f>
        <v>1</v>
      </c>
      <c r="AQ61" s="30">
        <f>Mtoe!S61</f>
        <v>1</v>
      </c>
      <c r="AR61" s="30">
        <f>Mtoe!T61</f>
        <v>1</v>
      </c>
      <c r="AS61" s="30">
        <f>Mtoe!U61</f>
        <v>1</v>
      </c>
      <c r="AT61" s="30">
        <f>Mtoe!V61</f>
        <v>1</v>
      </c>
      <c r="AU61" s="30">
        <f>Mtoe!W61</f>
        <v>1</v>
      </c>
      <c r="AV61" s="30">
        <f>Mtoe!X61</f>
        <v>1</v>
      </c>
      <c r="AW61" s="36"/>
      <c r="AX61" s="3" t="s">
        <v>46</v>
      </c>
      <c r="AY61" s="209"/>
      <c r="AZ61" s="209"/>
      <c r="BA61" s="209">
        <f>AO61*D61</f>
        <v>0.82</v>
      </c>
      <c r="BB61" s="209"/>
      <c r="BC61" s="209"/>
      <c r="BD61" s="209"/>
      <c r="BE61" s="209"/>
      <c r="BF61" s="209"/>
      <c r="BG61" s="209">
        <f>AU61*J61</f>
        <v>0</v>
      </c>
      <c r="BH61" s="209"/>
      <c r="BI61" s="215">
        <f t="shared" si="8"/>
        <v>0.82</v>
      </c>
      <c r="BJ61" s="33"/>
      <c r="BK61" s="110" t="s">
        <v>46</v>
      </c>
      <c r="BL61" s="157"/>
      <c r="BM61" s="157">
        <f t="shared" si="36"/>
        <v>0</v>
      </c>
      <c r="BN61" s="157">
        <f t="shared" si="36"/>
        <v>2.5641153999999995</v>
      </c>
      <c r="BO61" s="157">
        <f t="shared" si="36"/>
        <v>0</v>
      </c>
      <c r="BP61" s="157"/>
      <c r="BQ61" s="157"/>
      <c r="BR61" s="157"/>
      <c r="BS61" s="157">
        <f>BF61*BS$6</f>
        <v>0</v>
      </c>
      <c r="BT61" s="157" t="e">
        <f t="shared" si="37"/>
        <v>#DIV/0!</v>
      </c>
      <c r="BU61" s="157" t="e">
        <f t="shared" si="37"/>
        <v>#DIV/0!</v>
      </c>
      <c r="BV61" s="158" t="e">
        <f>SUM(BL61:BU61)</f>
        <v>#DIV/0!</v>
      </c>
      <c r="BW61" s="4" t="e">
        <f t="shared" si="16"/>
        <v>#DIV/0!</v>
      </c>
      <c r="BX61" s="4" t="s">
        <v>110</v>
      </c>
      <c r="BY61" s="4">
        <v>0.11789341752556547</v>
      </c>
      <c r="BZ61" t="s">
        <v>110</v>
      </c>
    </row>
    <row r="62" spans="1:78" ht="13.5" thickBot="1">
      <c r="A62" s="73" t="s">
        <v>35</v>
      </c>
      <c r="B62" s="253"/>
      <c r="C62" s="74"/>
      <c r="D62" s="74"/>
      <c r="E62" s="74"/>
      <c r="F62" s="74"/>
      <c r="G62" s="74"/>
      <c r="H62" s="74"/>
      <c r="I62" s="74"/>
      <c r="J62" s="74"/>
      <c r="K62" s="123"/>
      <c r="L62" s="96"/>
      <c r="M62" s="371"/>
      <c r="N62" s="74"/>
      <c r="O62" s="74"/>
      <c r="P62" s="74"/>
      <c r="Q62" s="74"/>
      <c r="R62" s="74"/>
      <c r="S62" s="74"/>
      <c r="T62" s="74"/>
      <c r="U62" s="74"/>
      <c r="V62" s="74"/>
      <c r="W62" s="123"/>
      <c r="X62" s="96"/>
      <c r="Z62" s="253"/>
      <c r="AA62" s="74"/>
      <c r="AB62" s="74"/>
      <c r="AC62" s="74"/>
      <c r="AD62" s="74"/>
      <c r="AE62" s="74"/>
      <c r="AF62" s="74"/>
      <c r="AG62" s="74"/>
      <c r="AH62" s="74"/>
      <c r="AI62" s="123"/>
      <c r="AJ62" s="96"/>
      <c r="AL62" s="6" t="s">
        <v>35</v>
      </c>
      <c r="AM62" s="30">
        <f>Mtoe!O62</f>
        <v>1</v>
      </c>
      <c r="AN62" s="30">
        <f>Mtoe!P62</f>
        <v>1</v>
      </c>
      <c r="AO62" s="30">
        <f>Mtoe!Q62</f>
        <v>1</v>
      </c>
      <c r="AP62" s="30">
        <f>Mtoe!R62</f>
        <v>1</v>
      </c>
      <c r="AQ62" s="30">
        <f>Mtoe!S62</f>
        <v>1</v>
      </c>
      <c r="AR62" s="30">
        <f>Mtoe!T62</f>
        <v>1</v>
      </c>
      <c r="AS62" s="30">
        <f>Mtoe!U62</f>
        <v>1</v>
      </c>
      <c r="AT62" s="30">
        <f>Mtoe!V62</f>
        <v>1</v>
      </c>
      <c r="AU62" s="30">
        <f>Mtoe!W62</f>
        <v>1</v>
      </c>
      <c r="AV62" s="30">
        <f>Mtoe!X62</f>
        <v>1</v>
      </c>
      <c r="AW62" s="41"/>
      <c r="AX62" s="6" t="s">
        <v>35</v>
      </c>
      <c r="AY62" s="219">
        <f>AM62*B62</f>
        <v>0</v>
      </c>
      <c r="AZ62" s="219"/>
      <c r="BA62" s="219">
        <f>AO62*D62</f>
        <v>0</v>
      </c>
      <c r="BB62" s="219">
        <f>AP62*E62</f>
        <v>0</v>
      </c>
      <c r="BC62" s="219"/>
      <c r="BD62" s="219"/>
      <c r="BE62" s="219"/>
      <c r="BF62" s="219">
        <f>AT62*I62</f>
        <v>0</v>
      </c>
      <c r="BG62" s="219">
        <f>AU62*J62</f>
        <v>0</v>
      </c>
      <c r="BH62" s="219">
        <f>AV62*K62</f>
        <v>0</v>
      </c>
      <c r="BI62" s="220">
        <f t="shared" si="8"/>
        <v>0</v>
      </c>
      <c r="BJ62" s="33"/>
      <c r="BK62" s="111" t="s">
        <v>35</v>
      </c>
      <c r="BL62" s="161">
        <f t="shared" si="36"/>
        <v>0</v>
      </c>
      <c r="BM62" s="162">
        <f t="shared" si="36"/>
        <v>0</v>
      </c>
      <c r="BN62" s="162">
        <f t="shared" si="36"/>
        <v>0</v>
      </c>
      <c r="BO62" s="162">
        <f t="shared" si="36"/>
        <v>0</v>
      </c>
      <c r="BP62" s="162"/>
      <c r="BQ62" s="162"/>
      <c r="BR62" s="162"/>
      <c r="BS62" s="162">
        <f>BF62*BS$6</f>
        <v>0</v>
      </c>
      <c r="BT62" s="162" t="e">
        <f t="shared" si="37"/>
        <v>#DIV/0!</v>
      </c>
      <c r="BU62" s="162" t="e">
        <f t="shared" si="37"/>
        <v>#DIV/0!</v>
      </c>
      <c r="BV62" s="163" t="e">
        <f>SUM(BL62:BU62)</f>
        <v>#DIV/0!</v>
      </c>
      <c r="BW62" s="195" t="e">
        <f t="shared" si="16"/>
        <v>#DIV/0!</v>
      </c>
      <c r="BX62" s="193" t="s">
        <v>110</v>
      </c>
      <c r="BY62" s="193">
        <v>2.14479064652733</v>
      </c>
      <c r="BZ62" s="182" t="s">
        <v>110</v>
      </c>
    </row>
    <row r="63" spans="1:78" ht="12.75">
      <c r="A63" s="71" t="s">
        <v>47</v>
      </c>
      <c r="B63" s="269"/>
      <c r="C63" s="269"/>
      <c r="D63" s="269"/>
      <c r="E63" s="269"/>
      <c r="F63" s="269"/>
      <c r="G63" s="269"/>
      <c r="H63" s="269"/>
      <c r="I63" s="269"/>
      <c r="J63" s="72"/>
      <c r="K63" s="72"/>
      <c r="L63" s="71"/>
      <c r="N63" s="269"/>
      <c r="O63" s="269"/>
      <c r="P63" s="269"/>
      <c r="Q63" s="269"/>
      <c r="R63" s="269"/>
      <c r="S63" s="269"/>
      <c r="T63" s="269"/>
      <c r="U63" s="269"/>
      <c r="V63" s="72"/>
      <c r="W63" s="72"/>
      <c r="X63" s="71"/>
      <c r="Z63" s="72"/>
      <c r="AA63" s="72"/>
      <c r="AB63" s="72"/>
      <c r="AC63" s="72"/>
      <c r="AD63" s="72"/>
      <c r="AE63" s="72"/>
      <c r="AF63" s="72"/>
      <c r="AG63" s="72"/>
      <c r="AH63" s="72"/>
      <c r="AI63" s="72"/>
      <c r="AJ63" s="71"/>
      <c r="AL63" s="5" t="s">
        <v>47</v>
      </c>
      <c r="AM63" s="22"/>
      <c r="AN63" s="22"/>
      <c r="AO63" s="22"/>
      <c r="AP63" s="22"/>
      <c r="AQ63" s="22"/>
      <c r="AR63" s="22"/>
      <c r="AS63" s="22"/>
      <c r="AT63" s="22"/>
      <c r="AU63" s="22"/>
      <c r="AV63" s="22"/>
      <c r="AW63" s="40"/>
      <c r="AX63" s="5" t="s">
        <v>47</v>
      </c>
      <c r="AY63" s="207">
        <f>AY64+AY66+AY67</f>
        <v>0</v>
      </c>
      <c r="AZ63" s="207">
        <f>AZ64+AZ66+AZ67</f>
        <v>0</v>
      </c>
      <c r="BA63" s="207">
        <f aca="true" t="shared" si="38" ref="BA63:BI63">BA64+BA66+BA67</f>
        <v>0</v>
      </c>
      <c r="BB63" s="207">
        <f t="shared" si="38"/>
        <v>0</v>
      </c>
      <c r="BC63" s="207">
        <f t="shared" si="38"/>
        <v>0</v>
      </c>
      <c r="BD63" s="207">
        <f t="shared" si="38"/>
        <v>0</v>
      </c>
      <c r="BE63" s="207">
        <f t="shared" si="38"/>
        <v>0</v>
      </c>
      <c r="BF63" s="207">
        <f t="shared" si="38"/>
        <v>0</v>
      </c>
      <c r="BG63" s="207">
        <f t="shared" si="38"/>
        <v>0</v>
      </c>
      <c r="BH63" s="207">
        <f t="shared" si="38"/>
        <v>0</v>
      </c>
      <c r="BI63" s="215">
        <f t="shared" si="38"/>
        <v>0</v>
      </c>
      <c r="BJ63" s="33"/>
      <c r="BK63" s="112" t="s">
        <v>47</v>
      </c>
      <c r="BL63" s="164">
        <f aca="true" t="shared" si="39" ref="BL63:BU63">BL64+BL66+BL67</f>
        <v>0</v>
      </c>
      <c r="BM63" s="164">
        <f t="shared" si="39"/>
        <v>0</v>
      </c>
      <c r="BN63" s="164">
        <f t="shared" si="39"/>
        <v>0</v>
      </c>
      <c r="BO63" s="164">
        <f t="shared" si="39"/>
        <v>0</v>
      </c>
      <c r="BP63" s="164">
        <f t="shared" si="39"/>
        <v>0</v>
      </c>
      <c r="BQ63" s="164">
        <f t="shared" si="39"/>
        <v>0</v>
      </c>
      <c r="BR63" s="164">
        <f t="shared" si="39"/>
        <v>0</v>
      </c>
      <c r="BS63" s="164">
        <f t="shared" si="39"/>
        <v>0</v>
      </c>
      <c r="BT63" s="164" t="e">
        <f t="shared" si="39"/>
        <v>#DIV/0!</v>
      </c>
      <c r="BU63" s="164" t="e">
        <f t="shared" si="39"/>
        <v>#DIV/0!</v>
      </c>
      <c r="BV63" s="158" t="e">
        <f>BV64+BV66+BV67</f>
        <v>#DIV/0!</v>
      </c>
      <c r="BW63" s="15" t="e">
        <f t="shared" si="16"/>
        <v>#DIV/0!</v>
      </c>
      <c r="BX63" s="4" t="s">
        <v>110</v>
      </c>
      <c r="BY63" s="4">
        <v>7.803064138939511</v>
      </c>
      <c r="BZ63" t="s">
        <v>110</v>
      </c>
    </row>
    <row r="64" spans="1:78" ht="12.75">
      <c r="A64" s="64" t="s">
        <v>48</v>
      </c>
      <c r="B64" s="252"/>
      <c r="C64" s="252"/>
      <c r="D64" s="252"/>
      <c r="E64" s="252"/>
      <c r="F64" s="252"/>
      <c r="G64" s="252"/>
      <c r="H64" s="252"/>
      <c r="I64" s="252"/>
      <c r="J64" s="65"/>
      <c r="K64" s="65"/>
      <c r="L64" s="71"/>
      <c r="N64" s="252"/>
      <c r="O64" s="252"/>
      <c r="P64" s="252"/>
      <c r="Q64" s="252"/>
      <c r="R64" s="252"/>
      <c r="S64" s="252"/>
      <c r="T64" s="252"/>
      <c r="U64" s="252"/>
      <c r="V64" s="65"/>
      <c r="W64" s="65"/>
      <c r="X64" s="71"/>
      <c r="Z64" s="65"/>
      <c r="AA64" s="65"/>
      <c r="AB64" s="65"/>
      <c r="AC64" s="65"/>
      <c r="AD64" s="65"/>
      <c r="AE64" s="65"/>
      <c r="AF64" s="65"/>
      <c r="AG64" s="65"/>
      <c r="AH64" s="65"/>
      <c r="AI64" s="65"/>
      <c r="AJ64" s="71"/>
      <c r="AL64" s="3" t="s">
        <v>48</v>
      </c>
      <c r="AM64" s="30">
        <f>Mtoe!O64</f>
        <v>1</v>
      </c>
      <c r="AN64" s="30">
        <f>Mtoe!P64</f>
        <v>1</v>
      </c>
      <c r="AO64" s="30">
        <f>Mtoe!Q64</f>
        <v>1</v>
      </c>
      <c r="AP64" s="30">
        <f>Mtoe!R64</f>
        <v>1</v>
      </c>
      <c r="AQ64" s="30">
        <f>Mtoe!S64</f>
        <v>1</v>
      </c>
      <c r="AR64" s="30">
        <f>Mtoe!T64</f>
        <v>1</v>
      </c>
      <c r="AS64" s="30">
        <f>Mtoe!U64</f>
        <v>1</v>
      </c>
      <c r="AT64" s="30">
        <f>Mtoe!V64</f>
        <v>1</v>
      </c>
      <c r="AU64" s="30">
        <f>Mtoe!W64</f>
        <v>1</v>
      </c>
      <c r="AV64" s="30">
        <f>Mtoe!X64</f>
        <v>1</v>
      </c>
      <c r="AW64" s="36"/>
      <c r="AX64" s="3" t="s">
        <v>48</v>
      </c>
      <c r="AY64" s="209">
        <f aca="true" t="shared" si="40" ref="AY64:BB65">AM64*B64</f>
        <v>0</v>
      </c>
      <c r="AZ64" s="209">
        <f t="shared" si="40"/>
        <v>0</v>
      </c>
      <c r="BA64" s="209">
        <f t="shared" si="40"/>
        <v>0</v>
      </c>
      <c r="BB64" s="209">
        <f t="shared" si="40"/>
        <v>0</v>
      </c>
      <c r="BC64" s="209"/>
      <c r="BD64" s="209"/>
      <c r="BE64" s="209"/>
      <c r="BF64" s="209"/>
      <c r="BG64" s="209"/>
      <c r="BH64" s="209"/>
      <c r="BI64" s="215">
        <f t="shared" si="8"/>
        <v>0</v>
      </c>
      <c r="BJ64" s="33"/>
      <c r="BK64" s="110" t="s">
        <v>48</v>
      </c>
      <c r="BL64" s="157">
        <f aca="true" t="shared" si="41" ref="BL64:BS67">AY64*BL$6</f>
        <v>0</v>
      </c>
      <c r="BM64" s="157">
        <f t="shared" si="41"/>
        <v>0</v>
      </c>
      <c r="BN64" s="157">
        <f t="shared" si="41"/>
        <v>0</v>
      </c>
      <c r="BO64" s="157">
        <f t="shared" si="41"/>
        <v>0</v>
      </c>
      <c r="BP64" s="157"/>
      <c r="BQ64" s="157"/>
      <c r="BR64" s="157"/>
      <c r="BS64" s="157">
        <f>BF64*BS$6</f>
        <v>0</v>
      </c>
      <c r="BT64" s="157" t="e">
        <f aca="true" t="shared" si="42" ref="BT64:BU67">BT$32*BG64/BG$32</f>
        <v>#DIV/0!</v>
      </c>
      <c r="BU64" s="157" t="e">
        <f t="shared" si="42"/>
        <v>#DIV/0!</v>
      </c>
      <c r="BV64" s="158" t="e">
        <f>SUM(BL64:BU64)</f>
        <v>#DIV/0!</v>
      </c>
      <c r="BW64" s="4" t="e">
        <f t="shared" si="16"/>
        <v>#DIV/0!</v>
      </c>
      <c r="BX64" s="4" t="s">
        <v>110</v>
      </c>
      <c r="BY64" s="4">
        <v>7.518435865413295</v>
      </c>
      <c r="BZ64" t="s">
        <v>110</v>
      </c>
    </row>
    <row r="65" spans="1:80" ht="12.75">
      <c r="A65" s="77" t="s">
        <v>49</v>
      </c>
      <c r="B65" s="252"/>
      <c r="C65" s="252"/>
      <c r="D65" s="252"/>
      <c r="E65" s="272"/>
      <c r="F65" s="272"/>
      <c r="G65" s="272"/>
      <c r="H65" s="272"/>
      <c r="I65" s="252"/>
      <c r="J65" s="78"/>
      <c r="K65" s="78"/>
      <c r="L65" s="97"/>
      <c r="M65" s="50"/>
      <c r="N65" s="252"/>
      <c r="O65" s="252"/>
      <c r="P65" s="252"/>
      <c r="Q65" s="272"/>
      <c r="R65" s="272"/>
      <c r="S65" s="272"/>
      <c r="T65" s="272"/>
      <c r="U65" s="252"/>
      <c r="V65" s="78"/>
      <c r="W65" s="78"/>
      <c r="X65" s="97"/>
      <c r="Y65" s="50"/>
      <c r="Z65" s="65"/>
      <c r="AA65" s="65"/>
      <c r="AB65" s="65"/>
      <c r="AC65" s="78"/>
      <c r="AD65" s="78"/>
      <c r="AE65" s="78"/>
      <c r="AF65" s="78"/>
      <c r="AG65" s="65"/>
      <c r="AH65" s="78"/>
      <c r="AI65" s="78"/>
      <c r="AJ65" s="97"/>
      <c r="AK65" s="50"/>
      <c r="AL65" s="7" t="s">
        <v>49</v>
      </c>
      <c r="AM65" s="30">
        <f>Mtoe!O65</f>
        <v>1</v>
      </c>
      <c r="AN65" s="30">
        <f>Mtoe!P65</f>
        <v>1</v>
      </c>
      <c r="AO65" s="30">
        <f>Mtoe!Q65</f>
        <v>1</v>
      </c>
      <c r="AP65" s="30">
        <f>Mtoe!R65</f>
        <v>1</v>
      </c>
      <c r="AQ65" s="30">
        <f>Mtoe!S65</f>
        <v>1</v>
      </c>
      <c r="AR65" s="30">
        <f>Mtoe!T65</f>
        <v>1</v>
      </c>
      <c r="AS65" s="30">
        <f>Mtoe!U65</f>
        <v>1</v>
      </c>
      <c r="AT65" s="30">
        <f>Mtoe!V65</f>
        <v>1</v>
      </c>
      <c r="AU65" s="30">
        <f>Mtoe!W65</f>
        <v>1</v>
      </c>
      <c r="AV65" s="30">
        <f>Mtoe!X65</f>
        <v>1</v>
      </c>
      <c r="AW65" s="42"/>
      <c r="AX65" s="7" t="s">
        <v>49</v>
      </c>
      <c r="AY65" s="209">
        <f t="shared" si="40"/>
        <v>0</v>
      </c>
      <c r="AZ65" s="209">
        <f t="shared" si="40"/>
        <v>0</v>
      </c>
      <c r="BA65" s="209">
        <f t="shared" si="40"/>
        <v>0</v>
      </c>
      <c r="BB65" s="209">
        <f t="shared" si="40"/>
        <v>0</v>
      </c>
      <c r="BC65" s="221"/>
      <c r="BD65" s="221"/>
      <c r="BE65" s="221"/>
      <c r="BF65" s="221"/>
      <c r="BG65" s="221"/>
      <c r="BH65" s="221"/>
      <c r="BI65" s="222">
        <f t="shared" si="8"/>
        <v>0</v>
      </c>
      <c r="BJ65" s="50"/>
      <c r="BK65" s="113" t="s">
        <v>49</v>
      </c>
      <c r="BL65" s="165">
        <f t="shared" si="41"/>
        <v>0</v>
      </c>
      <c r="BM65" s="165">
        <f t="shared" si="41"/>
        <v>0</v>
      </c>
      <c r="BN65" s="165">
        <f t="shared" si="41"/>
        <v>0</v>
      </c>
      <c r="BO65" s="165">
        <f t="shared" si="41"/>
        <v>0</v>
      </c>
      <c r="BP65" s="165"/>
      <c r="BQ65" s="165"/>
      <c r="BR65" s="165"/>
      <c r="BS65" s="165">
        <f t="shared" si="41"/>
        <v>0</v>
      </c>
      <c r="BT65" s="165" t="e">
        <f t="shared" si="42"/>
        <v>#DIV/0!</v>
      </c>
      <c r="BU65" s="165" t="e">
        <f t="shared" si="42"/>
        <v>#DIV/0!</v>
      </c>
      <c r="BV65" s="166" t="e">
        <f>SUM(BL65:BU65)</f>
        <v>#DIV/0!</v>
      </c>
      <c r="BW65" s="4"/>
      <c r="BX65" s="4"/>
      <c r="BY65" s="196"/>
      <c r="BZ65" s="17"/>
      <c r="CA65" s="17"/>
      <c r="CB65" s="17"/>
    </row>
    <row r="66" spans="1:78" ht="12.75">
      <c r="A66" s="64" t="s">
        <v>50</v>
      </c>
      <c r="B66" s="273"/>
      <c r="C66" s="268"/>
      <c r="D66" s="268"/>
      <c r="E66" s="268"/>
      <c r="F66" s="268"/>
      <c r="G66" s="268"/>
      <c r="H66" s="268"/>
      <c r="I66" s="268"/>
      <c r="J66" s="70"/>
      <c r="K66" s="70"/>
      <c r="L66" s="71"/>
      <c r="N66" s="252"/>
      <c r="O66" s="252"/>
      <c r="P66" s="252"/>
      <c r="Q66" s="252"/>
      <c r="R66" s="252"/>
      <c r="S66" s="252"/>
      <c r="T66" s="252"/>
      <c r="U66" s="252"/>
      <c r="V66" s="65"/>
      <c r="W66" s="65"/>
      <c r="X66" s="71"/>
      <c r="Z66" s="65"/>
      <c r="AA66" s="65"/>
      <c r="AB66" s="65"/>
      <c r="AC66" s="65"/>
      <c r="AD66" s="65"/>
      <c r="AE66" s="65"/>
      <c r="AF66" s="65"/>
      <c r="AG66" s="65"/>
      <c r="AH66" s="65"/>
      <c r="AI66" s="65"/>
      <c r="AJ66" s="71"/>
      <c r="AL66" s="3" t="s">
        <v>50</v>
      </c>
      <c r="AM66" s="30">
        <f>Mtoe!O66</f>
        <v>1</v>
      </c>
      <c r="AN66" s="30">
        <f>Mtoe!P66</f>
        <v>1</v>
      </c>
      <c r="AO66" s="30">
        <f>Mtoe!Q66</f>
        <v>1</v>
      </c>
      <c r="AP66" s="30">
        <f>Mtoe!R66</f>
        <v>1</v>
      </c>
      <c r="AQ66" s="30">
        <f>Mtoe!S66</f>
        <v>1</v>
      </c>
      <c r="AR66" s="30">
        <f>Mtoe!T66</f>
        <v>1</v>
      </c>
      <c r="AS66" s="30">
        <f>Mtoe!U66</f>
        <v>1</v>
      </c>
      <c r="AT66" s="30">
        <f>Mtoe!V66</f>
        <v>1</v>
      </c>
      <c r="AU66" s="30">
        <f>Mtoe!W66</f>
        <v>1</v>
      </c>
      <c r="AV66" s="30">
        <f>Mtoe!X66</f>
        <v>1</v>
      </c>
      <c r="AW66" s="36"/>
      <c r="AX66" s="3" t="s">
        <v>50</v>
      </c>
      <c r="AY66" s="209"/>
      <c r="AZ66" s="209"/>
      <c r="BA66" s="209">
        <f>AO66*D66</f>
        <v>0</v>
      </c>
      <c r="BB66" s="209"/>
      <c r="BC66" s="209"/>
      <c r="BD66" s="209"/>
      <c r="BE66" s="209"/>
      <c r="BF66" s="209"/>
      <c r="BG66" s="209"/>
      <c r="BH66" s="209"/>
      <c r="BI66" s="215">
        <f t="shared" si="8"/>
        <v>0</v>
      </c>
      <c r="BJ66" s="33"/>
      <c r="BK66" s="110" t="s">
        <v>50</v>
      </c>
      <c r="BL66" s="157"/>
      <c r="BM66" s="157">
        <f t="shared" si="41"/>
        <v>0</v>
      </c>
      <c r="BN66" s="157">
        <f t="shared" si="41"/>
        <v>0</v>
      </c>
      <c r="BO66" s="157">
        <f t="shared" si="41"/>
        <v>0</v>
      </c>
      <c r="BP66" s="157"/>
      <c r="BQ66" s="157"/>
      <c r="BR66" s="157"/>
      <c r="BS66" s="157">
        <f t="shared" si="41"/>
        <v>0</v>
      </c>
      <c r="BT66" s="157" t="e">
        <f t="shared" si="42"/>
        <v>#DIV/0!</v>
      </c>
      <c r="BU66" s="157" t="e">
        <f t="shared" si="42"/>
        <v>#DIV/0!</v>
      </c>
      <c r="BV66" s="158" t="e">
        <f>SUM(BL66:BU66)</f>
        <v>#DIV/0!</v>
      </c>
      <c r="BW66" s="197" t="e">
        <f t="shared" si="16"/>
        <v>#DIV/0!</v>
      </c>
      <c r="BX66" s="191" t="s">
        <v>110</v>
      </c>
      <c r="BY66" s="191">
        <v>0.229072158042962</v>
      </c>
      <c r="BZ66" s="124" t="s">
        <v>110</v>
      </c>
    </row>
    <row r="67" spans="1:78" ht="13.5" thickBot="1">
      <c r="A67" s="79" t="s">
        <v>51</v>
      </c>
      <c r="B67" s="270"/>
      <c r="C67" s="271"/>
      <c r="D67" s="271"/>
      <c r="E67" s="271"/>
      <c r="F67" s="271"/>
      <c r="G67" s="271"/>
      <c r="H67" s="271"/>
      <c r="I67" s="271"/>
      <c r="J67" s="74"/>
      <c r="K67" s="74"/>
      <c r="L67" s="96"/>
      <c r="N67" s="252"/>
      <c r="O67" s="252"/>
      <c r="P67" s="252"/>
      <c r="Q67" s="252"/>
      <c r="R67" s="252"/>
      <c r="S67" s="252"/>
      <c r="T67" s="252"/>
      <c r="U67" s="252"/>
      <c r="V67" s="65"/>
      <c r="W67" s="65"/>
      <c r="X67" s="71"/>
      <c r="Z67" s="65"/>
      <c r="AA67" s="65"/>
      <c r="AB67" s="65"/>
      <c r="AC67" s="65"/>
      <c r="AD67" s="65"/>
      <c r="AE67" s="65"/>
      <c r="AF67" s="65"/>
      <c r="AG67" s="65"/>
      <c r="AH67" s="65"/>
      <c r="AI67" s="65"/>
      <c r="AJ67" s="71"/>
      <c r="AL67" s="8" t="s">
        <v>51</v>
      </c>
      <c r="AM67" s="30">
        <f>Mtoe!O67</f>
        <v>1</v>
      </c>
      <c r="AN67" s="30">
        <f>Mtoe!P67</f>
        <v>1</v>
      </c>
      <c r="AO67" s="30">
        <f>Mtoe!Q67</f>
        <v>1</v>
      </c>
      <c r="AP67" s="30">
        <f>Mtoe!R67</f>
        <v>1</v>
      </c>
      <c r="AQ67" s="30">
        <f>Mtoe!S67</f>
        <v>1</v>
      </c>
      <c r="AR67" s="30">
        <f>Mtoe!T67</f>
        <v>1</v>
      </c>
      <c r="AS67" s="30">
        <f>Mtoe!U67</f>
        <v>1</v>
      </c>
      <c r="AT67" s="30">
        <f>Mtoe!V67</f>
        <v>1</v>
      </c>
      <c r="AU67" s="30">
        <f>Mtoe!W67</f>
        <v>1</v>
      </c>
      <c r="AV67" s="30">
        <f>Mtoe!X67</f>
        <v>1</v>
      </c>
      <c r="AW67" s="43"/>
      <c r="AX67" s="8" t="s">
        <v>51</v>
      </c>
      <c r="AY67" s="209">
        <f>AM67*B67</f>
        <v>0</v>
      </c>
      <c r="AZ67" s="209"/>
      <c r="BA67" s="209">
        <f>AO67*D67</f>
        <v>0</v>
      </c>
      <c r="BB67" s="209"/>
      <c r="BC67" s="209"/>
      <c r="BD67" s="209"/>
      <c r="BE67" s="209"/>
      <c r="BF67" s="209"/>
      <c r="BG67" s="209"/>
      <c r="BH67" s="209"/>
      <c r="BI67" s="223">
        <f t="shared" si="8"/>
        <v>0</v>
      </c>
      <c r="BJ67" s="33"/>
      <c r="BK67" s="114" t="s">
        <v>51</v>
      </c>
      <c r="BL67" s="167">
        <f t="shared" si="41"/>
        <v>0</v>
      </c>
      <c r="BM67" s="168">
        <f t="shared" si="41"/>
        <v>0</v>
      </c>
      <c r="BN67" s="168">
        <f t="shared" si="41"/>
        <v>0</v>
      </c>
      <c r="BO67" s="168">
        <f t="shared" si="41"/>
        <v>0</v>
      </c>
      <c r="BP67" s="168"/>
      <c r="BQ67" s="168"/>
      <c r="BR67" s="168"/>
      <c r="BS67" s="168">
        <f t="shared" si="41"/>
        <v>0</v>
      </c>
      <c r="BT67" s="168" t="e">
        <f t="shared" si="42"/>
        <v>#DIV/0!</v>
      </c>
      <c r="BU67" s="168" t="e">
        <f t="shared" si="42"/>
        <v>#DIV/0!</v>
      </c>
      <c r="BV67" s="169" t="e">
        <f>SUM(BL67:BU67)</f>
        <v>#DIV/0!</v>
      </c>
      <c r="BW67" s="198" t="e">
        <f t="shared" si="16"/>
        <v>#DIV/0!</v>
      </c>
      <c r="BX67" s="199" t="s">
        <v>110</v>
      </c>
      <c r="BY67" s="193">
        <v>0.0555561154832543</v>
      </c>
      <c r="BZ67" s="182" t="s">
        <v>110</v>
      </c>
    </row>
    <row r="68" spans="1:78" ht="15.75">
      <c r="A68" s="92"/>
      <c r="B68" s="92"/>
      <c r="C68" s="93"/>
      <c r="D68" s="92"/>
      <c r="E68" s="92"/>
      <c r="F68" s="92"/>
      <c r="G68" s="92"/>
      <c r="H68" s="92"/>
      <c r="I68" s="92"/>
      <c r="J68" s="92"/>
      <c r="K68" s="92"/>
      <c r="L68" s="16"/>
      <c r="N68" s="32"/>
      <c r="O68" s="32"/>
      <c r="P68" s="32"/>
      <c r="Q68" s="32"/>
      <c r="R68" s="32"/>
      <c r="S68" s="32"/>
      <c r="T68" s="32"/>
      <c r="U68" s="32"/>
      <c r="V68" s="32"/>
      <c r="W68" s="32"/>
      <c r="X68" s="32"/>
      <c r="Z68" s="32"/>
      <c r="AA68" s="32"/>
      <c r="AB68" s="32"/>
      <c r="AC68" s="32"/>
      <c r="AD68" s="32"/>
      <c r="AE68" s="32"/>
      <c r="AF68" s="32"/>
      <c r="AG68" s="32"/>
      <c r="AH68" s="32"/>
      <c r="AI68" s="32"/>
      <c r="AJ68" s="32"/>
      <c r="AL68" s="354"/>
      <c r="AM68" s="354"/>
      <c r="AN68" s="354"/>
      <c r="AO68" s="354"/>
      <c r="AP68" s="354"/>
      <c r="AQ68" s="354"/>
      <c r="AR68" s="354"/>
      <c r="AS68" s="354"/>
      <c r="AT68" s="354"/>
      <c r="AU68" s="354"/>
      <c r="AV68" s="354"/>
      <c r="AW68" s="49"/>
      <c r="AX68" s="349" t="s">
        <v>52</v>
      </c>
      <c r="AY68" s="350"/>
      <c r="AZ68" s="350"/>
      <c r="BA68" s="350"/>
      <c r="BB68" s="350"/>
      <c r="BC68" s="350"/>
      <c r="BD68" s="350"/>
      <c r="BE68" s="350"/>
      <c r="BF68" s="350"/>
      <c r="BG68" s="350"/>
      <c r="BH68" s="350"/>
      <c r="BI68" s="351"/>
      <c r="BJ68" s="33"/>
      <c r="BW68" s="200" t="e">
        <f>SUM(BW20:BW67)-(BW22+BW23+BW24+BW34+BW48+BW57+BW63)</f>
        <v>#DIV/0!</v>
      </c>
      <c r="BX68" s="200" t="s">
        <v>110</v>
      </c>
      <c r="BY68" s="4">
        <v>100</v>
      </c>
      <c r="BZ68" t="s">
        <v>110</v>
      </c>
    </row>
    <row r="69" spans="1:62" ht="16.5" thickBot="1">
      <c r="A69" s="258"/>
      <c r="B69" s="274" t="s">
        <v>134</v>
      </c>
      <c r="C69" s="250"/>
      <c r="D69" s="250"/>
      <c r="E69" s="250"/>
      <c r="F69" s="250"/>
      <c r="G69" s="250"/>
      <c r="H69" s="250"/>
      <c r="I69" s="250"/>
      <c r="J69" s="249"/>
      <c r="K69" s="249"/>
      <c r="L69" s="250"/>
      <c r="M69" s="256"/>
      <c r="N69" s="276" t="s">
        <v>135</v>
      </c>
      <c r="O69" s="249"/>
      <c r="P69" s="249"/>
      <c r="Q69" s="249"/>
      <c r="R69" s="249"/>
      <c r="S69" s="249"/>
      <c r="T69" s="249"/>
      <c r="U69" s="249"/>
      <c r="V69" s="249"/>
      <c r="W69" s="249"/>
      <c r="X69" s="249"/>
      <c r="Z69" s="274" t="s">
        <v>454</v>
      </c>
      <c r="AA69" s="250"/>
      <c r="AB69" s="250"/>
      <c r="AC69" s="250"/>
      <c r="AD69" s="250"/>
      <c r="AE69" s="250"/>
      <c r="AF69" s="250"/>
      <c r="AG69" s="250"/>
      <c r="AH69" s="249"/>
      <c r="AI69" s="249"/>
      <c r="AJ69" s="250"/>
      <c r="AL69" s="16"/>
      <c r="AM69" s="16"/>
      <c r="AN69" s="16"/>
      <c r="AO69" s="16"/>
      <c r="AP69" s="16"/>
      <c r="AQ69" s="16"/>
      <c r="AR69" s="16"/>
      <c r="AS69" s="16"/>
      <c r="AT69" s="16"/>
      <c r="AU69" s="16"/>
      <c r="AV69" s="16"/>
      <c r="AW69" s="44"/>
      <c r="AX69" s="9" t="s">
        <v>53</v>
      </c>
      <c r="AY69" s="207"/>
      <c r="AZ69" s="207"/>
      <c r="BA69" s="207"/>
      <c r="BB69" s="207"/>
      <c r="BC69" s="207"/>
      <c r="BD69" s="207"/>
      <c r="BE69" s="207"/>
      <c r="BF69" s="207"/>
      <c r="BG69" s="207"/>
      <c r="BH69" s="207"/>
      <c r="BI69" s="208"/>
      <c r="BJ69" s="33"/>
    </row>
    <row r="70" spans="1:62" ht="16.5" thickBot="1">
      <c r="A70" s="259" t="s">
        <v>136</v>
      </c>
      <c r="B70" s="246"/>
      <c r="C70" s="246"/>
      <c r="D70" s="246"/>
      <c r="E70" s="246"/>
      <c r="F70" s="246"/>
      <c r="G70" s="246"/>
      <c r="H70" s="246"/>
      <c r="I70" s="246"/>
      <c r="J70" s="246"/>
      <c r="K70" s="246"/>
      <c r="L70" s="255"/>
      <c r="M70" s="256"/>
      <c r="N70" s="246"/>
      <c r="O70" s="246"/>
      <c r="P70" s="246"/>
      <c r="Q70" s="246"/>
      <c r="R70" s="246"/>
      <c r="S70" s="246"/>
      <c r="T70" s="246"/>
      <c r="U70" s="246"/>
      <c r="V70" s="246"/>
      <c r="W70" s="246"/>
      <c r="X70" s="246"/>
      <c r="Z70" s="246"/>
      <c r="AA70" s="246"/>
      <c r="AB70" s="246"/>
      <c r="AC70" s="246"/>
      <c r="AD70" s="246"/>
      <c r="AE70" s="246"/>
      <c r="AF70" s="246"/>
      <c r="AG70" s="246"/>
      <c r="AH70" s="246"/>
      <c r="AI70" s="246"/>
      <c r="AJ70" s="255"/>
      <c r="AL70" s="92"/>
      <c r="AM70" s="92"/>
      <c r="AN70" s="92"/>
      <c r="AO70" s="92"/>
      <c r="AP70" s="92"/>
      <c r="AQ70" s="92"/>
      <c r="AR70" s="92"/>
      <c r="AS70" s="92"/>
      <c r="AT70" s="92"/>
      <c r="AU70" s="92"/>
      <c r="AV70" s="92"/>
      <c r="AW70" s="45"/>
      <c r="AX70" s="10" t="s">
        <v>54</v>
      </c>
      <c r="AY70" s="209"/>
      <c r="AZ70" s="209"/>
      <c r="BA70" s="209"/>
      <c r="BB70" s="209"/>
      <c r="BC70" s="209"/>
      <c r="BD70" s="209"/>
      <c r="BE70" s="209"/>
      <c r="BF70" s="209"/>
      <c r="BG70" s="209"/>
      <c r="BH70" s="209"/>
      <c r="BI70" s="208"/>
      <c r="BJ70" s="33"/>
    </row>
    <row r="71" spans="1:62" ht="15">
      <c r="A71" s="260" t="s">
        <v>9</v>
      </c>
      <c r="B71" s="246"/>
      <c r="C71" s="246"/>
      <c r="D71" s="246"/>
      <c r="E71" s="246"/>
      <c r="F71" s="246"/>
      <c r="G71" s="246"/>
      <c r="H71" s="246"/>
      <c r="I71" s="246"/>
      <c r="J71" s="246"/>
      <c r="K71" s="246"/>
      <c r="L71" s="255"/>
      <c r="M71" s="256"/>
      <c r="N71" s="246"/>
      <c r="O71" s="246"/>
      <c r="P71" s="246"/>
      <c r="Q71" s="246"/>
      <c r="R71" s="246"/>
      <c r="S71" s="246"/>
      <c r="T71" s="246"/>
      <c r="U71" s="246"/>
      <c r="V71" s="246"/>
      <c r="W71" s="246"/>
      <c r="X71" s="246"/>
      <c r="Z71" s="246"/>
      <c r="AA71" s="246"/>
      <c r="AB71" s="246"/>
      <c r="AC71" s="246"/>
      <c r="AD71" s="246"/>
      <c r="AE71" s="246"/>
      <c r="AF71" s="246"/>
      <c r="AG71" s="246"/>
      <c r="AH71" s="246"/>
      <c r="AI71" s="246"/>
      <c r="AJ71" s="255"/>
      <c r="AL71" s="92"/>
      <c r="AM71" s="92"/>
      <c r="AN71" s="92"/>
      <c r="AO71" s="92"/>
      <c r="AP71" s="92"/>
      <c r="AQ71" s="92"/>
      <c r="AR71" s="92"/>
      <c r="AS71" s="92"/>
      <c r="AT71" s="92"/>
      <c r="AU71" s="92"/>
      <c r="AV71" s="92"/>
      <c r="AW71" s="45"/>
      <c r="AX71" s="10" t="s">
        <v>55</v>
      </c>
      <c r="AY71" s="209"/>
      <c r="AZ71" s="209"/>
      <c r="BA71" s="209"/>
      <c r="BB71" s="209"/>
      <c r="BC71" s="209"/>
      <c r="BD71" s="209"/>
      <c r="BE71" s="209"/>
      <c r="BF71" s="209"/>
      <c r="BG71" s="209"/>
      <c r="BH71" s="209"/>
      <c r="BI71" s="208"/>
      <c r="BJ71" s="33"/>
    </row>
    <row r="72" spans="1:62" ht="15">
      <c r="A72" s="260" t="s">
        <v>13</v>
      </c>
      <c r="B72" s="246"/>
      <c r="C72" s="246"/>
      <c r="D72" s="246"/>
      <c r="E72" s="246"/>
      <c r="F72" s="246"/>
      <c r="G72" s="246"/>
      <c r="H72" s="246"/>
      <c r="I72" s="246"/>
      <c r="J72" s="246"/>
      <c r="K72" s="246"/>
      <c r="L72" s="255"/>
      <c r="M72" s="256"/>
      <c r="N72" s="246"/>
      <c r="O72" s="246"/>
      <c r="P72" s="246"/>
      <c r="Q72" s="246"/>
      <c r="R72" s="246"/>
      <c r="S72" s="246"/>
      <c r="T72" s="246"/>
      <c r="U72" s="246"/>
      <c r="V72" s="246"/>
      <c r="W72" s="246"/>
      <c r="X72" s="246"/>
      <c r="Z72" s="246"/>
      <c r="AA72" s="246"/>
      <c r="AB72" s="246"/>
      <c r="AC72" s="246"/>
      <c r="AD72" s="246"/>
      <c r="AE72" s="246"/>
      <c r="AF72" s="246"/>
      <c r="AG72" s="246"/>
      <c r="AH72" s="246"/>
      <c r="AI72" s="246"/>
      <c r="AJ72" s="255"/>
      <c r="AL72" s="16"/>
      <c r="AM72" s="92"/>
      <c r="AN72" s="16"/>
      <c r="AO72" s="16"/>
      <c r="AP72" s="16"/>
      <c r="AQ72" s="16"/>
      <c r="AR72" s="16"/>
      <c r="AS72" s="16"/>
      <c r="AT72" s="16"/>
      <c r="AU72" s="16"/>
      <c r="AV72" s="16"/>
      <c r="AW72" s="44"/>
      <c r="AX72" s="9" t="s">
        <v>56</v>
      </c>
      <c r="AY72" s="207"/>
      <c r="AZ72" s="207"/>
      <c r="BA72" s="207"/>
      <c r="BB72" s="207"/>
      <c r="BC72" s="207"/>
      <c r="BD72" s="207"/>
      <c r="BE72" s="207"/>
      <c r="BF72" s="207"/>
      <c r="BG72" s="207"/>
      <c r="BH72" s="207"/>
      <c r="BI72" s="208"/>
      <c r="BJ72" s="33"/>
    </row>
    <row r="73" spans="1:62" ht="15">
      <c r="A73" s="260" t="s">
        <v>10</v>
      </c>
      <c r="B73" s="245">
        <v>14</v>
      </c>
      <c r="C73" s="245">
        <v>0.4</v>
      </c>
      <c r="D73" s="245">
        <v>0.4</v>
      </c>
      <c r="E73" s="245">
        <v>0</v>
      </c>
      <c r="F73" s="246"/>
      <c r="G73" s="246"/>
      <c r="H73" s="246"/>
      <c r="I73" s="244">
        <v>3</v>
      </c>
      <c r="J73" s="246"/>
      <c r="K73" s="246"/>
      <c r="L73" s="246"/>
      <c r="N73" s="244">
        <v>1.1</v>
      </c>
      <c r="O73" s="244">
        <v>2.5</v>
      </c>
      <c r="P73" s="244">
        <v>2.5</v>
      </c>
      <c r="Q73" s="244">
        <v>0</v>
      </c>
      <c r="R73" s="246"/>
      <c r="S73" s="246"/>
      <c r="T73" s="246"/>
      <c r="U73" s="244">
        <v>0.1</v>
      </c>
      <c r="V73" s="246"/>
      <c r="W73" s="246"/>
      <c r="X73" s="246"/>
      <c r="Z73" s="245">
        <v>260</v>
      </c>
      <c r="AA73" s="245">
        <v>0</v>
      </c>
      <c r="AB73" s="245">
        <v>300</v>
      </c>
      <c r="AC73" s="245">
        <v>170</v>
      </c>
      <c r="AD73" s="246"/>
      <c r="AE73" s="246"/>
      <c r="AF73" s="246"/>
      <c r="AG73" s="244">
        <v>3</v>
      </c>
      <c r="AH73" s="246"/>
      <c r="AI73" s="246"/>
      <c r="AJ73" s="246"/>
      <c r="AL73" s="92"/>
      <c r="AM73" s="92"/>
      <c r="AN73" s="92"/>
      <c r="AO73" s="92"/>
      <c r="AP73" s="92"/>
      <c r="AQ73" s="93"/>
      <c r="AR73" s="93"/>
      <c r="AS73" s="92"/>
      <c r="AT73" s="92"/>
      <c r="AU73" s="93"/>
      <c r="AV73" s="92"/>
      <c r="AW73" s="46"/>
      <c r="AX73" s="10" t="s">
        <v>57</v>
      </c>
      <c r="AY73" s="210"/>
      <c r="AZ73" s="211"/>
      <c r="BA73" s="211"/>
      <c r="BB73" s="211"/>
      <c r="BC73" s="211"/>
      <c r="BD73" s="211"/>
      <c r="BE73" s="211"/>
      <c r="BF73" s="211"/>
      <c r="BG73" s="211"/>
      <c r="BH73" s="211"/>
      <c r="BI73" s="208"/>
      <c r="BJ73" s="33"/>
    </row>
    <row r="74" spans="1:70" ht="15.75" thickBot="1">
      <c r="A74" s="260" t="s">
        <v>11</v>
      </c>
      <c r="B74" s="245">
        <v>14</v>
      </c>
      <c r="C74" s="245">
        <v>0.4</v>
      </c>
      <c r="D74" s="245">
        <v>0.4</v>
      </c>
      <c r="E74" s="245">
        <v>0</v>
      </c>
      <c r="F74" s="246"/>
      <c r="G74" s="246"/>
      <c r="H74" s="246"/>
      <c r="I74" s="244">
        <v>3</v>
      </c>
      <c r="J74" s="246"/>
      <c r="K74" s="246"/>
      <c r="L74" s="246"/>
      <c r="N74" s="244">
        <v>1.1</v>
      </c>
      <c r="O74" s="244">
        <v>2.5</v>
      </c>
      <c r="P74" s="244">
        <v>2.5</v>
      </c>
      <c r="Q74" s="244">
        <v>0</v>
      </c>
      <c r="R74" s="246"/>
      <c r="S74" s="246"/>
      <c r="T74" s="246"/>
      <c r="U74" s="244">
        <v>0.1</v>
      </c>
      <c r="V74" s="246"/>
      <c r="W74" s="246"/>
      <c r="X74" s="246"/>
      <c r="Z74" s="245">
        <v>610</v>
      </c>
      <c r="AA74" s="245">
        <v>0</v>
      </c>
      <c r="AB74" s="245">
        <v>400</v>
      </c>
      <c r="AC74" s="245">
        <v>240</v>
      </c>
      <c r="AD74" s="246"/>
      <c r="AE74" s="246"/>
      <c r="AF74" s="246"/>
      <c r="AG74" s="244">
        <v>3</v>
      </c>
      <c r="AH74" s="246"/>
      <c r="AI74" s="246"/>
      <c r="AJ74" s="246"/>
      <c r="AL74" s="92"/>
      <c r="AM74" s="92"/>
      <c r="AN74" s="93"/>
      <c r="AO74" s="92"/>
      <c r="AP74" s="92"/>
      <c r="AQ74" s="92"/>
      <c r="AR74" s="92"/>
      <c r="AS74" s="92"/>
      <c r="AT74" s="92"/>
      <c r="AU74" s="92"/>
      <c r="AV74" s="92"/>
      <c r="AW74" s="47"/>
      <c r="AX74" s="11" t="s">
        <v>58</v>
      </c>
      <c r="AY74" s="212"/>
      <c r="AZ74" s="213"/>
      <c r="BA74" s="213"/>
      <c r="BB74" s="213"/>
      <c r="BC74" s="213"/>
      <c r="BD74" s="213"/>
      <c r="BE74" s="213"/>
      <c r="BF74" s="213"/>
      <c r="BG74" s="213"/>
      <c r="BH74" s="213"/>
      <c r="BI74" s="214"/>
      <c r="BJ74" s="33"/>
      <c r="BR74" s="32"/>
    </row>
    <row r="75" spans="1:70" ht="15">
      <c r="A75" s="260" t="s">
        <v>12</v>
      </c>
      <c r="B75" s="245">
        <v>14</v>
      </c>
      <c r="C75" s="245">
        <v>0.4</v>
      </c>
      <c r="D75" s="245">
        <v>0.4</v>
      </c>
      <c r="E75" s="245">
        <v>0</v>
      </c>
      <c r="F75" s="246"/>
      <c r="G75" s="246"/>
      <c r="H75" s="246"/>
      <c r="I75" s="244">
        <v>3</v>
      </c>
      <c r="J75" s="246"/>
      <c r="K75" s="246"/>
      <c r="L75" s="246"/>
      <c r="N75" s="244">
        <v>1.1</v>
      </c>
      <c r="O75" s="244">
        <v>2.5</v>
      </c>
      <c r="P75" s="244">
        <v>2.5</v>
      </c>
      <c r="Q75" s="244">
        <v>0</v>
      </c>
      <c r="R75" s="246"/>
      <c r="S75" s="246"/>
      <c r="T75" s="246"/>
      <c r="U75" s="244">
        <v>0.1</v>
      </c>
      <c r="V75" s="246"/>
      <c r="W75" s="246"/>
      <c r="X75" s="246"/>
      <c r="Z75" s="245">
        <v>2000</v>
      </c>
      <c r="AA75" s="245">
        <v>0</v>
      </c>
      <c r="AB75" s="245">
        <v>600</v>
      </c>
      <c r="AC75" s="245">
        <v>400</v>
      </c>
      <c r="AD75" s="246"/>
      <c r="AE75" s="246"/>
      <c r="AF75" s="246"/>
      <c r="AG75" s="244">
        <v>3</v>
      </c>
      <c r="AH75" s="246"/>
      <c r="AI75" s="246"/>
      <c r="AJ75" s="246"/>
      <c r="AL75" s="92"/>
      <c r="AM75" s="92"/>
      <c r="AN75" s="93"/>
      <c r="AO75" s="92"/>
      <c r="AP75" s="92"/>
      <c r="AQ75" s="92"/>
      <c r="AR75" s="92"/>
      <c r="AS75" s="92"/>
      <c r="AT75" s="92"/>
      <c r="AU75" s="92"/>
      <c r="AV75" s="92"/>
      <c r="AW75" s="234"/>
      <c r="AX75" s="203"/>
      <c r="AY75" s="211"/>
      <c r="AZ75" s="211"/>
      <c r="BA75" s="211"/>
      <c r="BB75" s="211"/>
      <c r="BC75" s="211"/>
      <c r="BD75" s="211"/>
      <c r="BE75" s="211"/>
      <c r="BF75" s="211"/>
      <c r="BG75" s="211"/>
      <c r="BH75" s="211"/>
      <c r="BI75" s="207"/>
      <c r="BJ75" s="33"/>
      <c r="BR75" s="32"/>
    </row>
    <row r="76" spans="1:62" ht="15">
      <c r="A76" s="260" t="s">
        <v>14</v>
      </c>
      <c r="B76" s="245">
        <v>14</v>
      </c>
      <c r="C76" s="245">
        <v>0.4</v>
      </c>
      <c r="D76" s="245">
        <v>0.4</v>
      </c>
      <c r="E76" s="245">
        <v>0</v>
      </c>
      <c r="F76" s="246"/>
      <c r="G76" s="246"/>
      <c r="H76" s="246"/>
      <c r="I76" s="244">
        <v>3</v>
      </c>
      <c r="J76" s="246"/>
      <c r="K76" s="246"/>
      <c r="L76" s="246"/>
      <c r="N76" s="244">
        <v>1.1</v>
      </c>
      <c r="O76" s="244">
        <v>2.5</v>
      </c>
      <c r="P76" s="244">
        <v>2.5</v>
      </c>
      <c r="Q76" s="244">
        <v>0</v>
      </c>
      <c r="R76" s="246"/>
      <c r="S76" s="246"/>
      <c r="T76" s="246"/>
      <c r="U76" s="244">
        <v>0.1</v>
      </c>
      <c r="V76" s="246"/>
      <c r="W76" s="246"/>
      <c r="X76" s="246"/>
      <c r="Z76" s="245">
        <v>0</v>
      </c>
      <c r="AA76" s="245">
        <v>0</v>
      </c>
      <c r="AB76" s="245">
        <v>0</v>
      </c>
      <c r="AC76" s="245">
        <v>0</v>
      </c>
      <c r="AD76" s="246"/>
      <c r="AE76" s="246"/>
      <c r="AF76" s="246"/>
      <c r="AG76" s="244">
        <v>3</v>
      </c>
      <c r="AH76" s="246"/>
      <c r="AI76" s="246"/>
      <c r="AJ76" s="246"/>
      <c r="AL76" s="32"/>
      <c r="AM76" s="32"/>
      <c r="AN76" s="32"/>
      <c r="AO76" s="32"/>
      <c r="AP76" s="32"/>
      <c r="AQ76" s="32"/>
      <c r="AR76" s="32"/>
      <c r="AS76" s="32"/>
      <c r="AT76" s="32"/>
      <c r="AU76" s="32"/>
      <c r="AV76" s="32"/>
      <c r="AW76" s="33"/>
      <c r="AY76" s="127"/>
      <c r="AZ76" s="127"/>
      <c r="BA76" s="127"/>
      <c r="BB76" s="127"/>
      <c r="BC76" s="127"/>
      <c r="BD76" s="127"/>
      <c r="BE76" s="127"/>
      <c r="BF76" s="127"/>
      <c r="BG76" s="127"/>
      <c r="BH76" s="127"/>
      <c r="BI76" s="127"/>
      <c r="BJ76" s="33"/>
    </row>
    <row r="77" spans="1:62" ht="15">
      <c r="A77" s="260" t="s">
        <v>15</v>
      </c>
      <c r="B77" s="245">
        <v>14</v>
      </c>
      <c r="C77" s="245">
        <v>0.4</v>
      </c>
      <c r="D77" s="245">
        <v>0.4</v>
      </c>
      <c r="E77" s="245">
        <v>0</v>
      </c>
      <c r="F77" s="246"/>
      <c r="G77" s="246"/>
      <c r="H77" s="246"/>
      <c r="I77" s="244">
        <v>3</v>
      </c>
      <c r="J77" s="246"/>
      <c r="K77" s="246"/>
      <c r="L77" s="246"/>
      <c r="N77" s="244">
        <v>1.1</v>
      </c>
      <c r="O77" s="244">
        <v>2.5</v>
      </c>
      <c r="P77" s="244">
        <v>2.5</v>
      </c>
      <c r="Q77" s="244">
        <v>0</v>
      </c>
      <c r="R77" s="246"/>
      <c r="S77" s="246"/>
      <c r="T77" s="246"/>
      <c r="U77" s="244">
        <v>0.1</v>
      </c>
      <c r="V77" s="246"/>
      <c r="W77" s="246"/>
      <c r="X77" s="246"/>
      <c r="Z77" s="245">
        <v>0</v>
      </c>
      <c r="AA77" s="245">
        <v>0</v>
      </c>
      <c r="AB77" s="245">
        <v>0</v>
      </c>
      <c r="AC77" s="245">
        <v>0</v>
      </c>
      <c r="AD77" s="246"/>
      <c r="AE77" s="246"/>
      <c r="AF77" s="246"/>
      <c r="AG77" s="244">
        <v>3</v>
      </c>
      <c r="AH77" s="246"/>
      <c r="AI77" s="246"/>
      <c r="AJ77" s="246"/>
      <c r="AL77" s="32"/>
      <c r="AM77" s="32"/>
      <c r="AN77" s="32"/>
      <c r="AO77" s="32"/>
      <c r="AP77" s="32"/>
      <c r="AQ77" s="32"/>
      <c r="AR77" s="32"/>
      <c r="AS77" s="32"/>
      <c r="AT77" s="32"/>
      <c r="AU77" s="32"/>
      <c r="AV77" s="32"/>
      <c r="AW77" s="33"/>
      <c r="AY77" s="127"/>
      <c r="AZ77" s="127"/>
      <c r="BA77" s="127"/>
      <c r="BB77" s="127"/>
      <c r="BC77" s="127"/>
      <c r="BD77" s="127"/>
      <c r="BE77" s="127"/>
      <c r="BF77" s="127"/>
      <c r="BG77" s="127"/>
      <c r="BH77" s="127"/>
      <c r="BI77" s="127"/>
      <c r="BJ77" s="33"/>
    </row>
    <row r="78" spans="1:62" ht="15">
      <c r="A78" s="260" t="s">
        <v>16</v>
      </c>
      <c r="B78" s="245">
        <v>14</v>
      </c>
      <c r="C78" s="245">
        <v>0.4</v>
      </c>
      <c r="D78" s="245">
        <v>0.4</v>
      </c>
      <c r="E78" s="245">
        <v>0</v>
      </c>
      <c r="F78" s="246"/>
      <c r="G78" s="246"/>
      <c r="H78" s="246"/>
      <c r="I78" s="244">
        <v>3</v>
      </c>
      <c r="J78" s="246"/>
      <c r="K78" s="246"/>
      <c r="L78" s="246"/>
      <c r="N78" s="244">
        <v>1.1</v>
      </c>
      <c r="O78" s="244">
        <v>2.5</v>
      </c>
      <c r="P78" s="244">
        <v>2.5</v>
      </c>
      <c r="Q78" s="244">
        <v>0</v>
      </c>
      <c r="R78" s="246"/>
      <c r="S78" s="246"/>
      <c r="T78" s="246"/>
      <c r="U78" s="244">
        <v>0.1</v>
      </c>
      <c r="V78" s="246"/>
      <c r="W78" s="246"/>
      <c r="X78" s="246"/>
      <c r="Z78" s="245">
        <v>0</v>
      </c>
      <c r="AA78" s="245">
        <v>0</v>
      </c>
      <c r="AB78" s="245">
        <v>0</v>
      </c>
      <c r="AC78" s="245">
        <v>0</v>
      </c>
      <c r="AD78" s="246"/>
      <c r="AE78" s="246"/>
      <c r="AF78" s="246"/>
      <c r="AG78" s="244">
        <v>3</v>
      </c>
      <c r="AH78" s="246"/>
      <c r="AI78" s="246"/>
      <c r="AJ78" s="246"/>
      <c r="AL78" s="32"/>
      <c r="AM78" s="32"/>
      <c r="AN78" s="32"/>
      <c r="AO78" s="32"/>
      <c r="AP78" s="32"/>
      <c r="AQ78" s="32"/>
      <c r="AR78" s="32"/>
      <c r="AS78" s="32"/>
      <c r="AT78" s="32"/>
      <c r="AU78" s="32"/>
      <c r="AV78" s="32"/>
      <c r="AW78" s="33"/>
      <c r="AY78" s="127"/>
      <c r="AZ78" s="127"/>
      <c r="BA78" s="127"/>
      <c r="BB78" s="127"/>
      <c r="BC78" s="127"/>
      <c r="BD78" s="127"/>
      <c r="BE78" s="127"/>
      <c r="BF78" s="127"/>
      <c r="BG78" s="127"/>
      <c r="BH78" s="127"/>
      <c r="BI78" s="127"/>
      <c r="BJ78" s="33"/>
    </row>
    <row r="79" spans="1:62" ht="15">
      <c r="A79" s="260" t="s">
        <v>17</v>
      </c>
      <c r="B79" s="245">
        <v>14</v>
      </c>
      <c r="C79" s="245">
        <v>0.4</v>
      </c>
      <c r="D79" s="245">
        <v>0.4</v>
      </c>
      <c r="E79" s="245">
        <v>0</v>
      </c>
      <c r="F79" s="246"/>
      <c r="G79" s="246"/>
      <c r="H79" s="246"/>
      <c r="I79" s="244">
        <v>3</v>
      </c>
      <c r="J79" s="246"/>
      <c r="K79" s="246"/>
      <c r="L79" s="246"/>
      <c r="N79" s="244">
        <v>1.1</v>
      </c>
      <c r="O79" s="244">
        <v>2.5</v>
      </c>
      <c r="P79" s="244">
        <v>2.5</v>
      </c>
      <c r="Q79" s="244">
        <v>0</v>
      </c>
      <c r="R79" s="246"/>
      <c r="S79" s="246"/>
      <c r="T79" s="246"/>
      <c r="U79" s="244">
        <v>0.1</v>
      </c>
      <c r="V79" s="246"/>
      <c r="W79" s="246"/>
      <c r="X79" s="246"/>
      <c r="Z79" s="245">
        <v>0</v>
      </c>
      <c r="AA79" s="245">
        <v>0</v>
      </c>
      <c r="AB79" s="245">
        <v>0</v>
      </c>
      <c r="AC79" s="245">
        <v>0</v>
      </c>
      <c r="AD79" s="246"/>
      <c r="AE79" s="246"/>
      <c r="AF79" s="246"/>
      <c r="AG79" s="244">
        <v>3</v>
      </c>
      <c r="AH79" s="246"/>
      <c r="AI79" s="246"/>
      <c r="AJ79" s="246"/>
      <c r="AL79" s="32"/>
      <c r="AM79" s="32"/>
      <c r="AN79" s="32"/>
      <c r="AO79" s="32"/>
      <c r="AP79" s="32"/>
      <c r="AQ79" s="32"/>
      <c r="AR79" s="32"/>
      <c r="AS79" s="32"/>
      <c r="AT79" s="32"/>
      <c r="AU79" s="32"/>
      <c r="AV79" s="32"/>
      <c r="AW79" s="33"/>
      <c r="AY79" s="127"/>
      <c r="AZ79" s="127"/>
      <c r="BA79" s="127"/>
      <c r="BB79" s="127"/>
      <c r="BC79" s="127"/>
      <c r="BD79" s="127"/>
      <c r="BE79" s="127"/>
      <c r="BF79" s="127"/>
      <c r="BG79" s="127"/>
      <c r="BH79" s="127"/>
      <c r="BI79" s="127"/>
      <c r="BJ79" s="33"/>
    </row>
    <row r="80" spans="1:36" ht="15">
      <c r="A80" s="260" t="s">
        <v>18</v>
      </c>
      <c r="B80" s="245">
        <v>14</v>
      </c>
      <c r="C80" s="245">
        <v>0.4</v>
      </c>
      <c r="D80" s="245">
        <v>0.4</v>
      </c>
      <c r="E80" s="245">
        <v>0</v>
      </c>
      <c r="F80" s="246"/>
      <c r="G80" s="246"/>
      <c r="H80" s="246"/>
      <c r="I80" s="244">
        <v>3</v>
      </c>
      <c r="J80" s="246"/>
      <c r="K80" s="246"/>
      <c r="L80" s="246"/>
      <c r="N80" s="244">
        <v>1.1</v>
      </c>
      <c r="O80" s="244">
        <v>2.5</v>
      </c>
      <c r="P80" s="244">
        <v>2.5</v>
      </c>
      <c r="Q80" s="244">
        <v>0</v>
      </c>
      <c r="R80" s="246"/>
      <c r="S80" s="246"/>
      <c r="T80" s="246"/>
      <c r="U80" s="244">
        <v>0.1</v>
      </c>
      <c r="V80" s="246"/>
      <c r="W80" s="246"/>
      <c r="X80" s="246"/>
      <c r="Z80" s="245">
        <v>0</v>
      </c>
      <c r="AA80" s="245">
        <v>0</v>
      </c>
      <c r="AB80" s="245">
        <v>0</v>
      </c>
      <c r="AC80" s="245">
        <v>0</v>
      </c>
      <c r="AD80" s="246"/>
      <c r="AE80" s="246"/>
      <c r="AF80" s="246"/>
      <c r="AG80" s="244">
        <v>3</v>
      </c>
      <c r="AH80" s="246"/>
      <c r="AI80" s="246"/>
      <c r="AJ80" s="246"/>
    </row>
    <row r="81" spans="1:41" ht="15">
      <c r="A81" s="260" t="s">
        <v>19</v>
      </c>
      <c r="B81" s="245">
        <v>14</v>
      </c>
      <c r="C81" s="245">
        <v>0.4</v>
      </c>
      <c r="D81" s="245">
        <v>0.4</v>
      </c>
      <c r="E81" s="245">
        <v>0</v>
      </c>
      <c r="F81" s="246"/>
      <c r="G81" s="246"/>
      <c r="H81" s="246"/>
      <c r="I81" s="244">
        <v>3</v>
      </c>
      <c r="J81" s="246"/>
      <c r="K81" s="246"/>
      <c r="L81" s="246"/>
      <c r="N81" s="244">
        <v>1.1</v>
      </c>
      <c r="O81" s="244">
        <v>2.5</v>
      </c>
      <c r="P81" s="244">
        <v>2.5</v>
      </c>
      <c r="Q81" s="244">
        <v>0</v>
      </c>
      <c r="R81" s="246"/>
      <c r="S81" s="246"/>
      <c r="T81" s="246"/>
      <c r="U81" s="244">
        <v>0.1</v>
      </c>
      <c r="V81" s="246"/>
      <c r="W81" s="246"/>
      <c r="X81" s="246"/>
      <c r="Z81" s="245">
        <v>0</v>
      </c>
      <c r="AA81" s="245">
        <v>0</v>
      </c>
      <c r="AB81" s="245">
        <v>0</v>
      </c>
      <c r="AC81" s="245">
        <v>0</v>
      </c>
      <c r="AD81" s="246"/>
      <c r="AE81" s="246"/>
      <c r="AF81" s="246"/>
      <c r="AG81" s="244">
        <v>3</v>
      </c>
      <c r="AH81" s="246"/>
      <c r="AI81" s="246"/>
      <c r="AJ81" s="246"/>
      <c r="AN81" s="228"/>
      <c r="AO81" s="230"/>
    </row>
    <row r="82" spans="1:41" ht="15">
      <c r="A82" s="260" t="s">
        <v>20</v>
      </c>
      <c r="B82" s="246"/>
      <c r="C82" s="246"/>
      <c r="D82" s="246"/>
      <c r="E82" s="246"/>
      <c r="F82" s="246"/>
      <c r="G82" s="246"/>
      <c r="H82" s="246"/>
      <c r="I82" s="246"/>
      <c r="J82" s="246"/>
      <c r="K82" s="246"/>
      <c r="L82" s="246"/>
      <c r="N82" s="246"/>
      <c r="O82" s="246"/>
      <c r="P82" s="246"/>
      <c r="Q82" s="246"/>
      <c r="R82" s="246"/>
      <c r="S82" s="246"/>
      <c r="T82" s="246"/>
      <c r="U82" s="246"/>
      <c r="V82" s="246"/>
      <c r="W82" s="246"/>
      <c r="X82" s="246"/>
      <c r="Z82" s="246"/>
      <c r="AA82" s="246"/>
      <c r="AB82" s="246"/>
      <c r="AC82" s="246"/>
      <c r="AD82" s="246"/>
      <c r="AE82" s="246"/>
      <c r="AF82" s="246"/>
      <c r="AG82" s="246"/>
      <c r="AH82" s="246"/>
      <c r="AI82" s="246"/>
      <c r="AJ82" s="246"/>
      <c r="AN82" s="228"/>
      <c r="AO82" s="227"/>
    </row>
    <row r="83" spans="1:41" ht="15">
      <c r="A83" s="261"/>
      <c r="B83" s="246"/>
      <c r="C83" s="246"/>
      <c r="D83" s="246"/>
      <c r="E83" s="246"/>
      <c r="F83" s="246"/>
      <c r="G83" s="246"/>
      <c r="H83" s="246"/>
      <c r="I83" s="246"/>
      <c r="J83" s="246"/>
      <c r="K83" s="246"/>
      <c r="L83" s="246"/>
      <c r="N83" s="246"/>
      <c r="O83" s="246"/>
      <c r="P83" s="246"/>
      <c r="Q83" s="246"/>
      <c r="R83" s="246"/>
      <c r="S83" s="246"/>
      <c r="T83" s="246"/>
      <c r="U83" s="246"/>
      <c r="V83" s="246"/>
      <c r="W83" s="246"/>
      <c r="X83" s="246"/>
      <c r="Z83" s="246"/>
      <c r="AA83" s="246"/>
      <c r="AB83" s="246"/>
      <c r="AC83" s="246"/>
      <c r="AD83" s="246"/>
      <c r="AE83" s="246"/>
      <c r="AF83" s="246"/>
      <c r="AG83" s="246"/>
      <c r="AH83" s="246"/>
      <c r="AI83" s="246"/>
      <c r="AJ83" s="246"/>
      <c r="AN83" s="228"/>
      <c r="AO83" s="127"/>
    </row>
    <row r="84" spans="1:41" ht="16.5" thickBot="1">
      <c r="A84" s="257" t="s">
        <v>21</v>
      </c>
      <c r="B84" s="246"/>
      <c r="C84" s="246"/>
      <c r="D84" s="246"/>
      <c r="E84" s="246"/>
      <c r="F84" s="246"/>
      <c r="G84" s="246"/>
      <c r="H84" s="246"/>
      <c r="I84" s="246"/>
      <c r="J84" s="246"/>
      <c r="K84" s="246"/>
      <c r="L84" s="246"/>
      <c r="N84" s="246"/>
      <c r="O84" s="246"/>
      <c r="P84" s="246"/>
      <c r="Q84" s="246"/>
      <c r="R84" s="246"/>
      <c r="S84" s="246"/>
      <c r="T84" s="246"/>
      <c r="U84" s="246"/>
      <c r="V84" s="246"/>
      <c r="W84" s="246"/>
      <c r="X84" s="246"/>
      <c r="Z84" s="246"/>
      <c r="AA84" s="246"/>
      <c r="AB84" s="246"/>
      <c r="AC84" s="246"/>
      <c r="AD84" s="246"/>
      <c r="AE84" s="246"/>
      <c r="AF84" s="246"/>
      <c r="AG84" s="246"/>
      <c r="AH84" s="246"/>
      <c r="AI84" s="246"/>
      <c r="AJ84" s="246"/>
      <c r="AN84" s="228"/>
      <c r="AO84" s="230"/>
    </row>
    <row r="85" spans="1:41" ht="15">
      <c r="A85" s="238" t="s">
        <v>22</v>
      </c>
      <c r="B85" s="246"/>
      <c r="C85" s="246"/>
      <c r="D85" s="246"/>
      <c r="E85" s="246"/>
      <c r="F85" s="246"/>
      <c r="G85" s="246"/>
      <c r="H85" s="246"/>
      <c r="I85" s="246"/>
      <c r="J85" s="246"/>
      <c r="K85" s="246"/>
      <c r="L85" s="246"/>
      <c r="N85" s="246"/>
      <c r="O85" s="246"/>
      <c r="P85" s="246"/>
      <c r="Q85" s="246"/>
      <c r="R85" s="246"/>
      <c r="S85" s="246"/>
      <c r="T85" s="246"/>
      <c r="U85" s="246"/>
      <c r="V85" s="246"/>
      <c r="W85" s="246"/>
      <c r="X85" s="246"/>
      <c r="Z85" s="246"/>
      <c r="AA85" s="246"/>
      <c r="AB85" s="246"/>
      <c r="AC85" s="246"/>
      <c r="AD85" s="246"/>
      <c r="AE85" s="246"/>
      <c r="AF85" s="246"/>
      <c r="AG85" s="246"/>
      <c r="AH85" s="246"/>
      <c r="AI85" s="246"/>
      <c r="AJ85" s="246"/>
      <c r="AN85" s="229"/>
      <c r="AO85" s="230"/>
    </row>
    <row r="86" spans="1:36" ht="15">
      <c r="A86" s="236" t="s">
        <v>23</v>
      </c>
      <c r="B86" s="245">
        <v>4</v>
      </c>
      <c r="C86" s="245">
        <v>0.4</v>
      </c>
      <c r="D86" s="245">
        <v>0.4</v>
      </c>
      <c r="E86" s="245">
        <v>0</v>
      </c>
      <c r="F86" s="246"/>
      <c r="G86" s="246"/>
      <c r="H86" s="246"/>
      <c r="I86" s="244">
        <v>3</v>
      </c>
      <c r="J86" s="246"/>
      <c r="K86" s="246"/>
      <c r="L86" s="246"/>
      <c r="N86" s="244">
        <v>1.5</v>
      </c>
      <c r="O86" s="244">
        <v>2.5</v>
      </c>
      <c r="P86" s="244">
        <v>2.5</v>
      </c>
      <c r="Q86" s="244">
        <v>0</v>
      </c>
      <c r="R86" s="246"/>
      <c r="S86" s="246"/>
      <c r="T86" s="246"/>
      <c r="U86" s="244">
        <v>0.1</v>
      </c>
      <c r="V86" s="246"/>
      <c r="W86" s="246"/>
      <c r="X86" s="246"/>
      <c r="Z86" s="245">
        <v>0</v>
      </c>
      <c r="AA86" s="245">
        <v>0</v>
      </c>
      <c r="AB86" s="245">
        <v>0</v>
      </c>
      <c r="AC86" s="245">
        <v>0</v>
      </c>
      <c r="AD86" s="246"/>
      <c r="AE86" s="246"/>
      <c r="AF86" s="246"/>
      <c r="AG86" s="244">
        <v>3</v>
      </c>
      <c r="AH86" s="246"/>
      <c r="AI86" s="246"/>
      <c r="AJ86" s="246"/>
    </row>
    <row r="87" spans="1:36" ht="15">
      <c r="A87" s="236" t="s">
        <v>24</v>
      </c>
      <c r="B87" s="245">
        <v>14</v>
      </c>
      <c r="C87" s="245">
        <v>0.4</v>
      </c>
      <c r="D87" s="245">
        <v>0.4</v>
      </c>
      <c r="E87" s="245">
        <v>0</v>
      </c>
      <c r="F87" s="246"/>
      <c r="G87" s="246"/>
      <c r="H87" s="246"/>
      <c r="I87" s="244">
        <v>3</v>
      </c>
      <c r="J87" s="246"/>
      <c r="K87" s="246"/>
      <c r="L87" s="246"/>
      <c r="N87" s="244">
        <v>1.1</v>
      </c>
      <c r="O87" s="244">
        <v>2.5</v>
      </c>
      <c r="P87" s="244">
        <v>2.5</v>
      </c>
      <c r="Q87" s="244">
        <v>0</v>
      </c>
      <c r="R87" s="246"/>
      <c r="S87" s="246"/>
      <c r="T87" s="246"/>
      <c r="U87" s="244">
        <v>0.1</v>
      </c>
      <c r="V87" s="246"/>
      <c r="W87" s="246"/>
      <c r="X87" s="246"/>
      <c r="Z87" s="245">
        <v>0</v>
      </c>
      <c r="AA87" s="245">
        <v>0</v>
      </c>
      <c r="AB87" s="245">
        <v>0</v>
      </c>
      <c r="AC87" s="245">
        <v>0</v>
      </c>
      <c r="AD87" s="246"/>
      <c r="AE87" s="246"/>
      <c r="AF87" s="246"/>
      <c r="AG87" s="244">
        <v>3</v>
      </c>
      <c r="AH87" s="246"/>
      <c r="AI87" s="246"/>
      <c r="AJ87" s="246"/>
    </row>
    <row r="88" spans="1:36" ht="15">
      <c r="A88" s="236" t="s">
        <v>25</v>
      </c>
      <c r="B88" s="245">
        <v>14</v>
      </c>
      <c r="C88" s="245">
        <v>0.4</v>
      </c>
      <c r="D88" s="245">
        <v>0.4</v>
      </c>
      <c r="E88" s="245">
        <v>0</v>
      </c>
      <c r="F88" s="246"/>
      <c r="G88" s="246"/>
      <c r="H88" s="246"/>
      <c r="I88" s="244">
        <v>3</v>
      </c>
      <c r="J88" s="246"/>
      <c r="K88" s="246"/>
      <c r="L88" s="246"/>
      <c r="N88" s="244">
        <v>1.1</v>
      </c>
      <c r="O88" s="244">
        <v>2.5</v>
      </c>
      <c r="P88" s="244">
        <v>2.5</v>
      </c>
      <c r="Q88" s="244">
        <v>0</v>
      </c>
      <c r="R88" s="246"/>
      <c r="S88" s="246"/>
      <c r="T88" s="246"/>
      <c r="U88" s="244">
        <v>0.1</v>
      </c>
      <c r="V88" s="246"/>
      <c r="W88" s="246"/>
      <c r="X88" s="246"/>
      <c r="Z88" s="245">
        <v>0</v>
      </c>
      <c r="AA88" s="245">
        <v>0</v>
      </c>
      <c r="AB88" s="245">
        <v>0</v>
      </c>
      <c r="AC88" s="245">
        <v>0</v>
      </c>
      <c r="AD88" s="246"/>
      <c r="AE88" s="246"/>
      <c r="AF88" s="246"/>
      <c r="AG88" s="244">
        <v>3</v>
      </c>
      <c r="AH88" s="246"/>
      <c r="AI88" s="246"/>
      <c r="AJ88" s="246"/>
    </row>
    <row r="89" spans="1:36" ht="15">
      <c r="A89" s="236" t="s">
        <v>26</v>
      </c>
      <c r="B89" s="245">
        <v>14</v>
      </c>
      <c r="C89" s="245">
        <v>0.4</v>
      </c>
      <c r="D89" s="245">
        <v>0.4</v>
      </c>
      <c r="E89" s="245">
        <v>0</v>
      </c>
      <c r="F89" s="246"/>
      <c r="G89" s="246"/>
      <c r="H89" s="246"/>
      <c r="I89" s="244">
        <v>3</v>
      </c>
      <c r="J89" s="246"/>
      <c r="K89" s="246"/>
      <c r="L89" s="246"/>
      <c r="N89" s="244">
        <v>1.1</v>
      </c>
      <c r="O89" s="244">
        <v>2.5</v>
      </c>
      <c r="P89" s="244">
        <v>2.5</v>
      </c>
      <c r="Q89" s="244">
        <v>0</v>
      </c>
      <c r="R89" s="246"/>
      <c r="S89" s="246"/>
      <c r="T89" s="246"/>
      <c r="U89" s="244">
        <v>0.1</v>
      </c>
      <c r="V89" s="246"/>
      <c r="W89" s="246"/>
      <c r="X89" s="246"/>
      <c r="Z89" s="245">
        <v>0</v>
      </c>
      <c r="AA89" s="245">
        <v>0</v>
      </c>
      <c r="AB89" s="245">
        <v>0</v>
      </c>
      <c r="AC89" s="245">
        <v>0</v>
      </c>
      <c r="AD89" s="246"/>
      <c r="AE89" s="246"/>
      <c r="AF89" s="246"/>
      <c r="AG89" s="244">
        <v>3</v>
      </c>
      <c r="AH89" s="246"/>
      <c r="AI89" s="246"/>
      <c r="AJ89" s="246"/>
    </row>
    <row r="90" spans="1:36" ht="15">
      <c r="A90" s="236" t="s">
        <v>27</v>
      </c>
      <c r="B90" s="245">
        <v>14</v>
      </c>
      <c r="C90" s="245">
        <v>0.4</v>
      </c>
      <c r="D90" s="245">
        <v>0.4</v>
      </c>
      <c r="E90" s="245">
        <v>0</v>
      </c>
      <c r="F90" s="246"/>
      <c r="G90" s="246"/>
      <c r="H90" s="246"/>
      <c r="I90" s="244">
        <v>3</v>
      </c>
      <c r="J90" s="246"/>
      <c r="K90" s="246"/>
      <c r="L90" s="246"/>
      <c r="N90" s="244">
        <v>1.1</v>
      </c>
      <c r="O90" s="244">
        <v>2.5</v>
      </c>
      <c r="P90" s="244">
        <v>2.5</v>
      </c>
      <c r="Q90" s="244">
        <v>0</v>
      </c>
      <c r="R90" s="246"/>
      <c r="S90" s="246"/>
      <c r="T90" s="246"/>
      <c r="U90" s="244">
        <v>0.1</v>
      </c>
      <c r="V90" s="246"/>
      <c r="W90" s="246"/>
      <c r="X90" s="246"/>
      <c r="Z90" s="245">
        <v>0</v>
      </c>
      <c r="AA90" s="245">
        <v>0</v>
      </c>
      <c r="AB90" s="245">
        <v>0</v>
      </c>
      <c r="AC90" s="245">
        <v>0</v>
      </c>
      <c r="AD90" s="246"/>
      <c r="AE90" s="246"/>
      <c r="AF90" s="246"/>
      <c r="AG90" s="244">
        <v>3</v>
      </c>
      <c r="AH90" s="246"/>
      <c r="AI90" s="246"/>
      <c r="AJ90" s="246"/>
    </row>
    <row r="91" spans="1:36" ht="15">
      <c r="A91" s="236" t="s">
        <v>28</v>
      </c>
      <c r="B91" s="245">
        <v>14</v>
      </c>
      <c r="C91" s="245">
        <v>0.4</v>
      </c>
      <c r="D91" s="245">
        <v>0.4</v>
      </c>
      <c r="E91" s="245">
        <v>0</v>
      </c>
      <c r="F91" s="246"/>
      <c r="G91" s="246"/>
      <c r="H91" s="246"/>
      <c r="I91" s="244">
        <v>3</v>
      </c>
      <c r="J91" s="246"/>
      <c r="K91" s="246"/>
      <c r="L91" s="246"/>
      <c r="N91" s="244">
        <v>1.1</v>
      </c>
      <c r="O91" s="244">
        <v>2.5</v>
      </c>
      <c r="P91" s="244">
        <v>2.5</v>
      </c>
      <c r="Q91" s="244">
        <v>0</v>
      </c>
      <c r="R91" s="246"/>
      <c r="S91" s="246"/>
      <c r="T91" s="246"/>
      <c r="U91" s="244">
        <v>0.1</v>
      </c>
      <c r="V91" s="246"/>
      <c r="W91" s="246"/>
      <c r="X91" s="246"/>
      <c r="Z91" s="245">
        <v>0</v>
      </c>
      <c r="AA91" s="245">
        <v>0</v>
      </c>
      <c r="AB91" s="245">
        <v>0</v>
      </c>
      <c r="AC91" s="245">
        <v>0</v>
      </c>
      <c r="AD91" s="246"/>
      <c r="AE91" s="246"/>
      <c r="AF91" s="246"/>
      <c r="AG91" s="244">
        <v>3</v>
      </c>
      <c r="AH91" s="246"/>
      <c r="AI91" s="246"/>
      <c r="AJ91" s="246"/>
    </row>
    <row r="92" spans="1:36" ht="15">
      <c r="A92" s="236" t="s">
        <v>29</v>
      </c>
      <c r="B92" s="245">
        <v>14</v>
      </c>
      <c r="C92" s="245">
        <v>0.4</v>
      </c>
      <c r="D92" s="245">
        <v>0.4</v>
      </c>
      <c r="E92" s="245">
        <v>0</v>
      </c>
      <c r="F92" s="246"/>
      <c r="G92" s="246"/>
      <c r="H92" s="246"/>
      <c r="I92" s="244">
        <v>3</v>
      </c>
      <c r="J92" s="246"/>
      <c r="K92" s="246"/>
      <c r="L92" s="246"/>
      <c r="N92" s="244">
        <v>1.1</v>
      </c>
      <c r="O92" s="244">
        <v>2.5</v>
      </c>
      <c r="P92" s="244">
        <v>2.5</v>
      </c>
      <c r="Q92" s="244">
        <v>0</v>
      </c>
      <c r="R92" s="246"/>
      <c r="S92" s="246"/>
      <c r="T92" s="246"/>
      <c r="U92" s="244">
        <v>0.1</v>
      </c>
      <c r="V92" s="246"/>
      <c r="W92" s="246"/>
      <c r="X92" s="246"/>
      <c r="Z92" s="245">
        <v>0</v>
      </c>
      <c r="AA92" s="245">
        <v>0</v>
      </c>
      <c r="AB92" s="245">
        <v>0</v>
      </c>
      <c r="AC92" s="245">
        <v>0</v>
      </c>
      <c r="AD92" s="246"/>
      <c r="AE92" s="246"/>
      <c r="AF92" s="246"/>
      <c r="AG92" s="244">
        <v>3</v>
      </c>
      <c r="AH92" s="246"/>
      <c r="AI92" s="246"/>
      <c r="AJ92" s="246"/>
    </row>
    <row r="93" spans="1:36" ht="15">
      <c r="A93" s="236" t="s">
        <v>30</v>
      </c>
      <c r="B93" s="245">
        <v>14</v>
      </c>
      <c r="C93" s="245">
        <v>0.4</v>
      </c>
      <c r="D93" s="245">
        <v>0.4</v>
      </c>
      <c r="E93" s="245">
        <v>0</v>
      </c>
      <c r="F93" s="246"/>
      <c r="G93" s="246"/>
      <c r="H93" s="246"/>
      <c r="I93" s="244">
        <v>3</v>
      </c>
      <c r="J93" s="246"/>
      <c r="K93" s="246"/>
      <c r="L93" s="246"/>
      <c r="N93" s="244">
        <v>1.1</v>
      </c>
      <c r="O93" s="244">
        <v>2.5</v>
      </c>
      <c r="P93" s="244">
        <v>2.5</v>
      </c>
      <c r="Q93" s="244">
        <v>0</v>
      </c>
      <c r="R93" s="246"/>
      <c r="S93" s="246"/>
      <c r="T93" s="246"/>
      <c r="U93" s="244">
        <v>0.1</v>
      </c>
      <c r="V93" s="246"/>
      <c r="W93" s="246"/>
      <c r="X93" s="246"/>
      <c r="Z93" s="245">
        <v>0</v>
      </c>
      <c r="AA93" s="245">
        <v>0</v>
      </c>
      <c r="AB93" s="245">
        <v>0</v>
      </c>
      <c r="AC93" s="245">
        <v>0</v>
      </c>
      <c r="AD93" s="246"/>
      <c r="AE93" s="246"/>
      <c r="AF93" s="246"/>
      <c r="AG93" s="244">
        <v>3</v>
      </c>
      <c r="AH93" s="246"/>
      <c r="AI93" s="246"/>
      <c r="AJ93" s="246"/>
    </row>
    <row r="94" spans="1:36" ht="15">
      <c r="A94" s="236" t="s">
        <v>31</v>
      </c>
      <c r="B94" s="245">
        <v>14</v>
      </c>
      <c r="C94" s="245">
        <v>0.4</v>
      </c>
      <c r="D94" s="245">
        <v>0.4</v>
      </c>
      <c r="E94" s="245">
        <v>0</v>
      </c>
      <c r="F94" s="246"/>
      <c r="G94" s="246"/>
      <c r="H94" s="246"/>
      <c r="I94" s="244">
        <v>20</v>
      </c>
      <c r="J94" s="246"/>
      <c r="K94" s="246"/>
      <c r="L94" s="246"/>
      <c r="N94" s="244">
        <v>1.1</v>
      </c>
      <c r="O94" s="244">
        <v>2.5</v>
      </c>
      <c r="P94" s="244">
        <v>2.5</v>
      </c>
      <c r="Q94" s="244">
        <v>0</v>
      </c>
      <c r="R94" s="246"/>
      <c r="S94" s="246"/>
      <c r="T94" s="246"/>
      <c r="U94" s="244">
        <v>5.4</v>
      </c>
      <c r="V94" s="246"/>
      <c r="W94" s="246"/>
      <c r="X94" s="246"/>
      <c r="Z94" s="245">
        <v>0</v>
      </c>
      <c r="AA94" s="245">
        <v>0</v>
      </c>
      <c r="AB94" s="245">
        <v>0</v>
      </c>
      <c r="AC94" s="245">
        <v>0</v>
      </c>
      <c r="AD94" s="246"/>
      <c r="AE94" s="246"/>
      <c r="AF94" s="246"/>
      <c r="AG94" s="244">
        <v>20</v>
      </c>
      <c r="AH94" s="246"/>
      <c r="AI94" s="246"/>
      <c r="AJ94" s="246"/>
    </row>
    <row r="95" spans="1:36" ht="15">
      <c r="A95" s="236" t="s">
        <v>32</v>
      </c>
      <c r="B95" s="245">
        <v>14</v>
      </c>
      <c r="C95" s="245">
        <v>0.4</v>
      </c>
      <c r="D95" s="245">
        <v>0.4</v>
      </c>
      <c r="E95" s="245">
        <v>0</v>
      </c>
      <c r="F95" s="246"/>
      <c r="G95" s="246"/>
      <c r="H95" s="246"/>
      <c r="I95" s="244">
        <v>3</v>
      </c>
      <c r="J95" s="246"/>
      <c r="K95" s="246"/>
      <c r="L95" s="246"/>
      <c r="N95" s="244">
        <v>1.1</v>
      </c>
      <c r="O95" s="244">
        <v>2.5</v>
      </c>
      <c r="P95" s="244">
        <v>2.5</v>
      </c>
      <c r="Q95" s="244">
        <v>0</v>
      </c>
      <c r="R95" s="246"/>
      <c r="S95" s="246"/>
      <c r="T95" s="246"/>
      <c r="U95" s="244">
        <v>0.1</v>
      </c>
      <c r="V95" s="246"/>
      <c r="W95" s="246"/>
      <c r="X95" s="246"/>
      <c r="Z95" s="245">
        <v>0</v>
      </c>
      <c r="AA95" s="245">
        <v>0</v>
      </c>
      <c r="AB95" s="245">
        <v>0</v>
      </c>
      <c r="AC95" s="245">
        <v>0</v>
      </c>
      <c r="AD95" s="246"/>
      <c r="AE95" s="246"/>
      <c r="AF95" s="246"/>
      <c r="AG95" s="244">
        <v>3</v>
      </c>
      <c r="AH95" s="246"/>
      <c r="AI95" s="246"/>
      <c r="AJ95" s="246"/>
    </row>
    <row r="96" spans="1:36" ht="15">
      <c r="A96" s="236" t="s">
        <v>33</v>
      </c>
      <c r="B96" s="245">
        <v>14</v>
      </c>
      <c r="C96" s="245">
        <v>0.4</v>
      </c>
      <c r="D96" s="245">
        <v>0.4</v>
      </c>
      <c r="E96" s="245">
        <v>0</v>
      </c>
      <c r="F96" s="246"/>
      <c r="G96" s="246"/>
      <c r="H96" s="246"/>
      <c r="I96" s="244">
        <v>3</v>
      </c>
      <c r="J96" s="246"/>
      <c r="K96" s="246"/>
      <c r="L96" s="246"/>
      <c r="N96" s="244">
        <v>1.1</v>
      </c>
      <c r="O96" s="244">
        <v>2.5</v>
      </c>
      <c r="P96" s="244">
        <v>0.2</v>
      </c>
      <c r="Q96" s="244">
        <v>0</v>
      </c>
      <c r="R96" s="246"/>
      <c r="S96" s="246"/>
      <c r="T96" s="246"/>
      <c r="U96" s="244">
        <v>0.1</v>
      </c>
      <c r="V96" s="246"/>
      <c r="W96" s="246"/>
      <c r="X96" s="246"/>
      <c r="Z96" s="245">
        <v>0</v>
      </c>
      <c r="AA96" s="245">
        <v>0</v>
      </c>
      <c r="AB96" s="245">
        <v>0</v>
      </c>
      <c r="AC96" s="245">
        <v>0</v>
      </c>
      <c r="AD96" s="246"/>
      <c r="AE96" s="246"/>
      <c r="AF96" s="246"/>
      <c r="AG96" s="244">
        <v>3</v>
      </c>
      <c r="AH96" s="246"/>
      <c r="AI96" s="246"/>
      <c r="AJ96" s="246"/>
    </row>
    <row r="97" spans="1:36" ht="15">
      <c r="A97" s="236" t="s">
        <v>34</v>
      </c>
      <c r="B97" s="245">
        <v>14</v>
      </c>
      <c r="C97" s="245">
        <v>0.4</v>
      </c>
      <c r="D97" s="245">
        <v>0.4</v>
      </c>
      <c r="E97" s="245">
        <v>0</v>
      </c>
      <c r="F97" s="246"/>
      <c r="G97" s="246"/>
      <c r="H97" s="246"/>
      <c r="I97" s="244">
        <v>3</v>
      </c>
      <c r="J97" s="246"/>
      <c r="K97" s="246"/>
      <c r="L97" s="246"/>
      <c r="N97" s="244">
        <v>1.1</v>
      </c>
      <c r="O97" s="244">
        <v>2.5</v>
      </c>
      <c r="P97" s="244">
        <v>0.2</v>
      </c>
      <c r="Q97" s="244">
        <v>0</v>
      </c>
      <c r="R97" s="246"/>
      <c r="S97" s="246"/>
      <c r="T97" s="246"/>
      <c r="U97" s="244">
        <v>0.1</v>
      </c>
      <c r="V97" s="246"/>
      <c r="W97" s="246"/>
      <c r="X97" s="246"/>
      <c r="Z97" s="245">
        <v>0</v>
      </c>
      <c r="AA97" s="245">
        <v>0</v>
      </c>
      <c r="AB97" s="245">
        <v>0</v>
      </c>
      <c r="AC97" s="245">
        <v>0</v>
      </c>
      <c r="AD97" s="246"/>
      <c r="AE97" s="246"/>
      <c r="AF97" s="246"/>
      <c r="AG97" s="244">
        <v>3</v>
      </c>
      <c r="AH97" s="246"/>
      <c r="AI97" s="246"/>
      <c r="AJ97" s="246"/>
    </row>
    <row r="98" spans="1:36" ht="15">
      <c r="A98" s="239" t="s">
        <v>35</v>
      </c>
      <c r="B98" s="245">
        <v>14</v>
      </c>
      <c r="C98" s="245">
        <v>0.4</v>
      </c>
      <c r="D98" s="245">
        <v>0.4</v>
      </c>
      <c r="E98" s="245">
        <v>0</v>
      </c>
      <c r="F98" s="246"/>
      <c r="G98" s="246"/>
      <c r="H98" s="246"/>
      <c r="I98" s="244">
        <v>3</v>
      </c>
      <c r="J98" s="246"/>
      <c r="K98" s="246"/>
      <c r="L98" s="246"/>
      <c r="N98" s="244">
        <v>1.1</v>
      </c>
      <c r="O98" s="244">
        <v>2.5</v>
      </c>
      <c r="P98" s="244">
        <v>0.2</v>
      </c>
      <c r="Q98" s="244">
        <v>0</v>
      </c>
      <c r="R98" s="246"/>
      <c r="S98" s="246"/>
      <c r="T98" s="246"/>
      <c r="U98" s="244">
        <v>0.1</v>
      </c>
      <c r="V98" s="246"/>
      <c r="W98" s="246"/>
      <c r="X98" s="246"/>
      <c r="Z98" s="245">
        <v>0</v>
      </c>
      <c r="AA98" s="245">
        <v>0</v>
      </c>
      <c r="AB98" s="245">
        <v>0</v>
      </c>
      <c r="AC98" s="245">
        <v>0</v>
      </c>
      <c r="AD98" s="246"/>
      <c r="AE98" s="246"/>
      <c r="AF98" s="246"/>
      <c r="AG98" s="244">
        <v>3</v>
      </c>
      <c r="AH98" s="246"/>
      <c r="AI98" s="246"/>
      <c r="AJ98" s="246"/>
    </row>
    <row r="99" spans="1:36" ht="15">
      <c r="A99" s="238" t="s">
        <v>36</v>
      </c>
      <c r="B99" s="246"/>
      <c r="C99" s="246"/>
      <c r="D99" s="246"/>
      <c r="E99" s="246"/>
      <c r="F99" s="246"/>
      <c r="G99" s="246"/>
      <c r="H99" s="246"/>
      <c r="I99" s="246"/>
      <c r="J99" s="246"/>
      <c r="K99" s="246"/>
      <c r="L99" s="246"/>
      <c r="N99" s="246"/>
      <c r="O99" s="246"/>
      <c r="P99" s="246"/>
      <c r="Q99" s="246"/>
      <c r="R99" s="246"/>
      <c r="S99" s="246"/>
      <c r="T99" s="246"/>
      <c r="U99" s="246"/>
      <c r="V99" s="246"/>
      <c r="W99" s="246"/>
      <c r="X99" s="246"/>
      <c r="Z99" s="246"/>
      <c r="AA99" s="246"/>
      <c r="AB99" s="246"/>
      <c r="AC99" s="246"/>
      <c r="AD99" s="246"/>
      <c r="AE99" s="246"/>
      <c r="AF99" s="246"/>
      <c r="AG99" s="246"/>
      <c r="AH99" s="246"/>
      <c r="AI99" s="246"/>
      <c r="AJ99" s="246"/>
    </row>
    <row r="100" spans="1:36" ht="15">
      <c r="A100" s="240" t="s">
        <v>120</v>
      </c>
      <c r="B100" s="245">
        <v>14</v>
      </c>
      <c r="C100" s="245">
        <v>0.4</v>
      </c>
      <c r="D100" s="245">
        <v>0</v>
      </c>
      <c r="E100" s="245">
        <v>0</v>
      </c>
      <c r="F100" s="246"/>
      <c r="G100" s="246"/>
      <c r="H100" s="246"/>
      <c r="I100" s="244">
        <v>3</v>
      </c>
      <c r="J100" s="246"/>
      <c r="K100" s="246"/>
      <c r="L100" s="246"/>
      <c r="N100" s="244">
        <v>1.1</v>
      </c>
      <c r="O100" s="244">
        <v>2.5</v>
      </c>
      <c r="P100" s="244">
        <v>0</v>
      </c>
      <c r="Q100" s="244">
        <v>0</v>
      </c>
      <c r="R100" s="246"/>
      <c r="S100" s="246"/>
      <c r="T100" s="246"/>
      <c r="U100" s="244">
        <v>0.1</v>
      </c>
      <c r="V100" s="246"/>
      <c r="W100" s="246"/>
      <c r="X100" s="246"/>
      <c r="Z100" s="245">
        <v>0</v>
      </c>
      <c r="AA100" s="245">
        <v>0</v>
      </c>
      <c r="AB100" s="245">
        <v>0</v>
      </c>
      <c r="AC100" s="245">
        <v>0</v>
      </c>
      <c r="AD100" s="246"/>
      <c r="AE100" s="246"/>
      <c r="AF100" s="246"/>
      <c r="AG100" s="244">
        <v>3</v>
      </c>
      <c r="AH100" s="246"/>
      <c r="AI100" s="246"/>
      <c r="AJ100" s="246"/>
    </row>
    <row r="101" spans="1:36" ht="15">
      <c r="A101" s="236" t="s">
        <v>119</v>
      </c>
      <c r="B101" s="245">
        <v>14</v>
      </c>
      <c r="C101" s="245">
        <v>0.4</v>
      </c>
      <c r="D101" s="245">
        <v>0</v>
      </c>
      <c r="E101" s="245">
        <v>0</v>
      </c>
      <c r="F101" s="246"/>
      <c r="G101" s="246"/>
      <c r="H101" s="246"/>
      <c r="I101" s="244">
        <v>3</v>
      </c>
      <c r="J101" s="246"/>
      <c r="K101" s="246"/>
      <c r="L101" s="246"/>
      <c r="N101" s="244">
        <v>1.1</v>
      </c>
      <c r="O101" s="244">
        <v>2.5</v>
      </c>
      <c r="P101" s="244">
        <v>0</v>
      </c>
      <c r="Q101" s="244">
        <v>0</v>
      </c>
      <c r="R101" s="246"/>
      <c r="S101" s="246"/>
      <c r="T101" s="246"/>
      <c r="U101" s="244">
        <v>0.1</v>
      </c>
      <c r="V101" s="246"/>
      <c r="W101" s="246"/>
      <c r="X101" s="246"/>
      <c r="Z101" s="245">
        <v>0</v>
      </c>
      <c r="AA101" s="245">
        <v>0</v>
      </c>
      <c r="AB101" s="245">
        <v>0</v>
      </c>
      <c r="AC101" s="245">
        <v>0</v>
      </c>
      <c r="AD101" s="246"/>
      <c r="AE101" s="246"/>
      <c r="AF101" s="246"/>
      <c r="AG101" s="244">
        <v>3</v>
      </c>
      <c r="AH101" s="246"/>
      <c r="AI101" s="246"/>
      <c r="AJ101" s="246"/>
    </row>
    <row r="102" spans="1:36" ht="15">
      <c r="A102" s="236" t="s">
        <v>38</v>
      </c>
      <c r="B102" s="245">
        <v>14</v>
      </c>
      <c r="C102" s="245">
        <v>0.4</v>
      </c>
      <c r="D102" s="245">
        <v>0</v>
      </c>
      <c r="E102" s="245">
        <v>0</v>
      </c>
      <c r="F102" s="246"/>
      <c r="G102" s="246"/>
      <c r="H102" s="246"/>
      <c r="I102" s="244">
        <v>0</v>
      </c>
      <c r="J102" s="246"/>
      <c r="K102" s="246"/>
      <c r="L102" s="246"/>
      <c r="N102" s="244">
        <v>1.1</v>
      </c>
      <c r="O102" s="244">
        <v>2.5</v>
      </c>
      <c r="P102" s="244">
        <v>0</v>
      </c>
      <c r="Q102" s="244">
        <v>0</v>
      </c>
      <c r="R102" s="246"/>
      <c r="S102" s="246"/>
      <c r="T102" s="246"/>
      <c r="U102" s="244">
        <v>0</v>
      </c>
      <c r="V102" s="246"/>
      <c r="W102" s="246"/>
      <c r="X102" s="246"/>
      <c r="Z102" s="245">
        <v>0</v>
      </c>
      <c r="AA102" s="245">
        <v>0</v>
      </c>
      <c r="AB102" s="245">
        <v>0</v>
      </c>
      <c r="AC102" s="245">
        <v>0</v>
      </c>
      <c r="AD102" s="246"/>
      <c r="AE102" s="246"/>
      <c r="AF102" s="246"/>
      <c r="AG102" s="244">
        <v>0</v>
      </c>
      <c r="AH102" s="246"/>
      <c r="AI102" s="246"/>
      <c r="AJ102" s="246"/>
    </row>
    <row r="103" spans="1:36" ht="15">
      <c r="A103" s="236" t="s">
        <v>39</v>
      </c>
      <c r="B103" s="245">
        <v>14</v>
      </c>
      <c r="C103" s="245">
        <v>0.4</v>
      </c>
      <c r="D103" s="245">
        <v>0.05</v>
      </c>
      <c r="E103" s="245">
        <v>0</v>
      </c>
      <c r="F103" s="246"/>
      <c r="G103" s="246"/>
      <c r="H103" s="246"/>
      <c r="I103" s="244">
        <v>3</v>
      </c>
      <c r="J103" s="246"/>
      <c r="K103" s="246"/>
      <c r="L103" s="246"/>
      <c r="N103" s="244">
        <v>1.1</v>
      </c>
      <c r="O103" s="244">
        <v>2.5</v>
      </c>
      <c r="P103" s="244">
        <v>0.2</v>
      </c>
      <c r="Q103" s="244">
        <v>0</v>
      </c>
      <c r="R103" s="246"/>
      <c r="S103" s="246"/>
      <c r="T103" s="246"/>
      <c r="U103" s="244">
        <v>0.1</v>
      </c>
      <c r="V103" s="246"/>
      <c r="W103" s="246"/>
      <c r="X103" s="246"/>
      <c r="Z103" s="245">
        <v>0</v>
      </c>
      <c r="AA103" s="245">
        <v>0</v>
      </c>
      <c r="AB103" s="245">
        <v>0</v>
      </c>
      <c r="AC103" s="245">
        <v>0</v>
      </c>
      <c r="AD103" s="246"/>
      <c r="AE103" s="246"/>
      <c r="AF103" s="246"/>
      <c r="AG103" s="244">
        <v>3</v>
      </c>
      <c r="AH103" s="246"/>
      <c r="AI103" s="246"/>
      <c r="AJ103" s="246"/>
    </row>
    <row r="104" spans="1:36" ht="15">
      <c r="A104" s="236" t="s">
        <v>40</v>
      </c>
      <c r="B104" s="245">
        <v>14</v>
      </c>
      <c r="C104" s="245">
        <v>0.4</v>
      </c>
      <c r="D104" s="245">
        <v>0.05</v>
      </c>
      <c r="E104" s="245">
        <v>0</v>
      </c>
      <c r="F104" s="246"/>
      <c r="G104" s="246"/>
      <c r="H104" s="246"/>
      <c r="I104" s="244">
        <v>3</v>
      </c>
      <c r="J104" s="246"/>
      <c r="K104" s="246"/>
      <c r="L104" s="246"/>
      <c r="N104" s="244">
        <v>1.1</v>
      </c>
      <c r="O104" s="244">
        <v>2.5</v>
      </c>
      <c r="P104" s="244">
        <v>0.2</v>
      </c>
      <c r="Q104" s="244">
        <v>0</v>
      </c>
      <c r="R104" s="246"/>
      <c r="S104" s="246"/>
      <c r="T104" s="246"/>
      <c r="U104" s="244">
        <v>0.1</v>
      </c>
      <c r="V104" s="246"/>
      <c r="W104" s="246"/>
      <c r="X104" s="246"/>
      <c r="Z104" s="245">
        <v>0</v>
      </c>
      <c r="AA104" s="245">
        <v>0</v>
      </c>
      <c r="AB104" s="245">
        <v>0</v>
      </c>
      <c r="AC104" s="245">
        <v>0</v>
      </c>
      <c r="AD104" s="246"/>
      <c r="AE104" s="246"/>
      <c r="AF104" s="246"/>
      <c r="AG104" s="244">
        <v>3</v>
      </c>
      <c r="AH104" s="246"/>
      <c r="AI104" s="246"/>
      <c r="AJ104" s="246"/>
    </row>
    <row r="105" spans="1:36" ht="15">
      <c r="A105" s="240" t="s">
        <v>121</v>
      </c>
      <c r="B105" s="245">
        <v>14</v>
      </c>
      <c r="C105" s="245">
        <v>0.4</v>
      </c>
      <c r="D105" s="245">
        <v>0.05</v>
      </c>
      <c r="E105" s="245">
        <v>0</v>
      </c>
      <c r="F105" s="246"/>
      <c r="G105" s="246"/>
      <c r="H105" s="246"/>
      <c r="I105" s="244">
        <v>3</v>
      </c>
      <c r="J105" s="246"/>
      <c r="K105" s="246"/>
      <c r="L105" s="246"/>
      <c r="N105" s="244">
        <v>1.1</v>
      </c>
      <c r="O105" s="244">
        <v>2.5</v>
      </c>
      <c r="P105" s="244">
        <v>2.5</v>
      </c>
      <c r="Q105" s="244">
        <v>0</v>
      </c>
      <c r="R105" s="246"/>
      <c r="S105" s="246"/>
      <c r="T105" s="246"/>
      <c r="U105" s="244">
        <v>0.1</v>
      </c>
      <c r="V105" s="246"/>
      <c r="W105" s="246"/>
      <c r="X105" s="246"/>
      <c r="Z105" s="245">
        <v>0</v>
      </c>
      <c r="AA105" s="245">
        <v>0</v>
      </c>
      <c r="AB105" s="245">
        <v>0</v>
      </c>
      <c r="AC105" s="245">
        <v>0</v>
      </c>
      <c r="AD105" s="246"/>
      <c r="AE105" s="246"/>
      <c r="AF105" s="246"/>
      <c r="AG105" s="244">
        <v>3</v>
      </c>
      <c r="AH105" s="246"/>
      <c r="AI105" s="246"/>
      <c r="AJ105" s="246"/>
    </row>
    <row r="106" spans="1:36" ht="15">
      <c r="A106" s="236" t="s">
        <v>118</v>
      </c>
      <c r="B106" s="245">
        <v>14</v>
      </c>
      <c r="C106" s="245">
        <v>0.4</v>
      </c>
      <c r="D106" s="245">
        <v>0.4</v>
      </c>
      <c r="E106" s="245">
        <v>0</v>
      </c>
      <c r="F106" s="246"/>
      <c r="G106" s="246"/>
      <c r="H106" s="246"/>
      <c r="I106" s="244">
        <v>3</v>
      </c>
      <c r="J106" s="246"/>
      <c r="K106" s="246"/>
      <c r="L106" s="246"/>
      <c r="N106" s="244">
        <v>1.1</v>
      </c>
      <c r="O106" s="244">
        <v>2.5</v>
      </c>
      <c r="P106" s="244">
        <v>2.5</v>
      </c>
      <c r="Q106" s="244">
        <v>0</v>
      </c>
      <c r="R106" s="246"/>
      <c r="S106" s="246"/>
      <c r="T106" s="246"/>
      <c r="U106" s="244">
        <v>0.1</v>
      </c>
      <c r="V106" s="246"/>
      <c r="W106" s="246"/>
      <c r="X106" s="246"/>
      <c r="Z106" s="245">
        <v>0</v>
      </c>
      <c r="AA106" s="245">
        <v>0</v>
      </c>
      <c r="AB106" s="245">
        <v>0</v>
      </c>
      <c r="AC106" s="245">
        <v>0</v>
      </c>
      <c r="AD106" s="246"/>
      <c r="AE106" s="246"/>
      <c r="AF106" s="246"/>
      <c r="AG106" s="244">
        <v>3</v>
      </c>
      <c r="AH106" s="246"/>
      <c r="AI106" s="246"/>
      <c r="AJ106" s="246"/>
    </row>
    <row r="107" spans="1:36" ht="15">
      <c r="A107" s="239" t="s">
        <v>35</v>
      </c>
      <c r="B107" s="245">
        <v>14</v>
      </c>
      <c r="C107" s="245">
        <v>0.4</v>
      </c>
      <c r="D107" s="245">
        <v>0.05</v>
      </c>
      <c r="E107" s="245">
        <v>0</v>
      </c>
      <c r="F107" s="246"/>
      <c r="G107" s="246"/>
      <c r="H107" s="246"/>
      <c r="I107" s="244">
        <v>3</v>
      </c>
      <c r="J107" s="246"/>
      <c r="K107" s="246"/>
      <c r="L107" s="246"/>
      <c r="N107" s="244">
        <v>1.1</v>
      </c>
      <c r="O107" s="244">
        <v>2.5</v>
      </c>
      <c r="P107" s="244">
        <v>0.2</v>
      </c>
      <c r="Q107" s="244">
        <v>0</v>
      </c>
      <c r="R107" s="246"/>
      <c r="S107" s="246"/>
      <c r="T107" s="246"/>
      <c r="U107" s="244">
        <v>0.1</v>
      </c>
      <c r="V107" s="246"/>
      <c r="W107" s="246"/>
      <c r="X107" s="246"/>
      <c r="Z107" s="245">
        <v>0</v>
      </c>
      <c r="AA107" s="245">
        <v>0</v>
      </c>
      <c r="AB107" s="245">
        <v>0</v>
      </c>
      <c r="AC107" s="245">
        <v>0</v>
      </c>
      <c r="AD107" s="246"/>
      <c r="AE107" s="246"/>
      <c r="AF107" s="246"/>
      <c r="AG107" s="244">
        <v>3</v>
      </c>
      <c r="AH107" s="246"/>
      <c r="AI107" s="246"/>
      <c r="AJ107" s="246"/>
    </row>
    <row r="108" spans="1:36" ht="15">
      <c r="A108" s="238" t="s">
        <v>42</v>
      </c>
      <c r="B108" s="246"/>
      <c r="C108" s="246"/>
      <c r="D108" s="246"/>
      <c r="E108" s="246"/>
      <c r="F108" s="246"/>
      <c r="G108" s="246"/>
      <c r="H108" s="246"/>
      <c r="I108" s="246"/>
      <c r="J108" s="246"/>
      <c r="K108" s="246"/>
      <c r="L108" s="246"/>
      <c r="N108" s="246"/>
      <c r="O108" s="246"/>
      <c r="P108" s="246"/>
      <c r="Q108" s="246"/>
      <c r="R108" s="246"/>
      <c r="S108" s="246"/>
      <c r="T108" s="246"/>
      <c r="U108" s="246"/>
      <c r="V108" s="246"/>
      <c r="W108" s="246"/>
      <c r="X108" s="246"/>
      <c r="Z108" s="246"/>
      <c r="AA108" s="246"/>
      <c r="AB108" s="246"/>
      <c r="AC108" s="246"/>
      <c r="AD108" s="246"/>
      <c r="AE108" s="246"/>
      <c r="AF108" s="246"/>
      <c r="AG108" s="246"/>
      <c r="AH108" s="246"/>
      <c r="AI108" s="246"/>
      <c r="AJ108" s="246"/>
    </row>
    <row r="109" spans="1:36" ht="15">
      <c r="A109" s="236" t="s">
        <v>43</v>
      </c>
      <c r="B109" s="245">
        <v>14</v>
      </c>
      <c r="C109" s="245">
        <v>0.4</v>
      </c>
      <c r="D109" s="245">
        <v>0.05</v>
      </c>
      <c r="E109" s="245">
        <v>0</v>
      </c>
      <c r="F109" s="246"/>
      <c r="G109" s="246"/>
      <c r="H109" s="246"/>
      <c r="I109" s="244">
        <v>3</v>
      </c>
      <c r="J109" s="246"/>
      <c r="K109" s="246"/>
      <c r="L109" s="246"/>
      <c r="N109" s="244">
        <v>1.1</v>
      </c>
      <c r="O109" s="244">
        <v>2.5</v>
      </c>
      <c r="P109" s="244">
        <v>0.2</v>
      </c>
      <c r="Q109" s="244">
        <v>0</v>
      </c>
      <c r="R109" s="246"/>
      <c r="S109" s="246"/>
      <c r="T109" s="246"/>
      <c r="U109" s="244">
        <v>0.1</v>
      </c>
      <c r="V109" s="246"/>
      <c r="W109" s="246"/>
      <c r="X109" s="246"/>
      <c r="Z109" s="245">
        <v>70000</v>
      </c>
      <c r="AA109" s="245">
        <v>0</v>
      </c>
      <c r="AB109" s="245">
        <v>2000</v>
      </c>
      <c r="AC109" s="245">
        <v>1000</v>
      </c>
      <c r="AD109" s="246"/>
      <c r="AE109" s="246"/>
      <c r="AF109" s="246"/>
      <c r="AG109" s="244">
        <v>3</v>
      </c>
      <c r="AH109" s="246"/>
      <c r="AI109" s="246"/>
      <c r="AJ109" s="246"/>
    </row>
    <row r="110" spans="1:36" ht="15">
      <c r="A110" s="236" t="s">
        <v>44</v>
      </c>
      <c r="B110" s="245">
        <v>14</v>
      </c>
      <c r="C110" s="245">
        <v>0.4</v>
      </c>
      <c r="D110" s="245">
        <v>0.05</v>
      </c>
      <c r="E110" s="245">
        <v>0</v>
      </c>
      <c r="F110" s="246"/>
      <c r="G110" s="246"/>
      <c r="H110" s="246"/>
      <c r="I110" s="244">
        <v>3</v>
      </c>
      <c r="J110" s="246"/>
      <c r="K110" s="246"/>
      <c r="L110" s="246"/>
      <c r="N110" s="244">
        <v>1.1</v>
      </c>
      <c r="O110" s="244">
        <v>2.5</v>
      </c>
      <c r="P110" s="244">
        <v>0.2</v>
      </c>
      <c r="Q110" s="244">
        <v>0</v>
      </c>
      <c r="R110" s="246"/>
      <c r="S110" s="246"/>
      <c r="T110" s="246"/>
      <c r="U110" s="244">
        <v>0.1</v>
      </c>
      <c r="V110" s="246"/>
      <c r="W110" s="246"/>
      <c r="X110" s="246"/>
      <c r="Z110" s="245">
        <v>0</v>
      </c>
      <c r="AA110" s="245">
        <v>0</v>
      </c>
      <c r="AB110" s="245">
        <v>0</v>
      </c>
      <c r="AC110" s="245">
        <v>0</v>
      </c>
      <c r="AD110" s="246"/>
      <c r="AE110" s="246"/>
      <c r="AF110" s="246"/>
      <c r="AG110" s="244">
        <v>3</v>
      </c>
      <c r="AH110" s="246"/>
      <c r="AI110" s="246"/>
      <c r="AJ110" s="246"/>
    </row>
    <row r="111" spans="1:36" ht="15">
      <c r="A111" s="236" t="s">
        <v>45</v>
      </c>
      <c r="B111" s="245">
        <v>14</v>
      </c>
      <c r="C111" s="245">
        <v>0.4</v>
      </c>
      <c r="D111" s="245">
        <v>0.05</v>
      </c>
      <c r="E111" s="245">
        <v>0</v>
      </c>
      <c r="F111" s="246"/>
      <c r="G111" s="246"/>
      <c r="H111" s="246"/>
      <c r="I111" s="244">
        <v>3</v>
      </c>
      <c r="J111" s="246"/>
      <c r="K111" s="246"/>
      <c r="L111" s="246"/>
      <c r="N111" s="244">
        <v>1.1</v>
      </c>
      <c r="O111" s="244">
        <v>2.5</v>
      </c>
      <c r="P111" s="244">
        <v>0.2</v>
      </c>
      <c r="Q111" s="244">
        <v>0</v>
      </c>
      <c r="R111" s="246"/>
      <c r="S111" s="246"/>
      <c r="T111" s="246"/>
      <c r="U111" s="244">
        <v>0.1</v>
      </c>
      <c r="V111" s="246"/>
      <c r="W111" s="246"/>
      <c r="X111" s="246"/>
      <c r="Z111" s="245">
        <v>0</v>
      </c>
      <c r="AA111" s="245">
        <v>0</v>
      </c>
      <c r="AB111" s="245">
        <v>0</v>
      </c>
      <c r="AC111" s="245">
        <v>0</v>
      </c>
      <c r="AD111" s="246"/>
      <c r="AE111" s="246"/>
      <c r="AF111" s="246"/>
      <c r="AG111" s="244">
        <v>3</v>
      </c>
      <c r="AH111" s="246"/>
      <c r="AI111" s="246"/>
      <c r="AJ111" s="246"/>
    </row>
    <row r="112" spans="1:36" ht="15">
      <c r="A112" s="236" t="s">
        <v>46</v>
      </c>
      <c r="B112" s="245">
        <v>14</v>
      </c>
      <c r="C112" s="245">
        <v>0.4</v>
      </c>
      <c r="D112" s="245">
        <v>0.05</v>
      </c>
      <c r="E112" s="245">
        <v>0</v>
      </c>
      <c r="F112" s="246"/>
      <c r="G112" s="246"/>
      <c r="H112" s="246"/>
      <c r="I112" s="244">
        <v>3</v>
      </c>
      <c r="J112" s="246"/>
      <c r="K112" s="246"/>
      <c r="L112" s="246"/>
      <c r="N112" s="244">
        <v>1.1</v>
      </c>
      <c r="O112" s="244">
        <v>2.5</v>
      </c>
      <c r="P112" s="244">
        <v>0.2</v>
      </c>
      <c r="Q112" s="244">
        <v>0</v>
      </c>
      <c r="R112" s="246"/>
      <c r="S112" s="246"/>
      <c r="T112" s="246"/>
      <c r="U112" s="244">
        <v>0.1</v>
      </c>
      <c r="V112" s="246"/>
      <c r="W112" s="246"/>
      <c r="X112" s="246"/>
      <c r="Z112" s="245">
        <v>0</v>
      </c>
      <c r="AA112" s="245">
        <v>0</v>
      </c>
      <c r="AB112" s="245">
        <v>0</v>
      </c>
      <c r="AC112" s="245">
        <v>0</v>
      </c>
      <c r="AD112" s="246"/>
      <c r="AE112" s="246"/>
      <c r="AF112" s="246"/>
      <c r="AG112" s="244">
        <v>3</v>
      </c>
      <c r="AH112" s="246"/>
      <c r="AI112" s="246"/>
      <c r="AJ112" s="246"/>
    </row>
    <row r="113" spans="1:36" ht="15">
      <c r="A113" s="239" t="s">
        <v>35</v>
      </c>
      <c r="B113" s="245">
        <v>14</v>
      </c>
      <c r="C113" s="245">
        <v>0.4</v>
      </c>
      <c r="D113" s="245">
        <v>0.05</v>
      </c>
      <c r="E113" s="245">
        <v>0</v>
      </c>
      <c r="F113" s="246"/>
      <c r="G113" s="246"/>
      <c r="H113" s="246"/>
      <c r="I113" s="244">
        <v>3</v>
      </c>
      <c r="J113" s="246"/>
      <c r="K113" s="246"/>
      <c r="L113" s="246"/>
      <c r="N113" s="244">
        <v>1.1</v>
      </c>
      <c r="O113" s="244">
        <v>2.5</v>
      </c>
      <c r="P113" s="244">
        <v>0.2</v>
      </c>
      <c r="Q113" s="244">
        <v>0</v>
      </c>
      <c r="R113" s="246"/>
      <c r="S113" s="246"/>
      <c r="T113" s="246"/>
      <c r="U113" s="244">
        <v>0.1</v>
      </c>
      <c r="V113" s="246"/>
      <c r="W113" s="246"/>
      <c r="X113" s="246"/>
      <c r="Z113" s="245">
        <v>0</v>
      </c>
      <c r="AA113" s="245">
        <v>0</v>
      </c>
      <c r="AB113" s="245">
        <v>0</v>
      </c>
      <c r="AC113" s="245">
        <v>0</v>
      </c>
      <c r="AD113" s="246"/>
      <c r="AE113" s="246"/>
      <c r="AF113" s="246"/>
      <c r="AG113" s="244">
        <v>3</v>
      </c>
      <c r="AH113" s="246"/>
      <c r="AI113" s="246"/>
      <c r="AJ113" s="246"/>
    </row>
    <row r="114" spans="1:36" ht="15">
      <c r="A114" s="238" t="s">
        <v>47</v>
      </c>
      <c r="B114" s="246"/>
      <c r="C114" s="246"/>
      <c r="D114" s="246"/>
      <c r="E114" s="246"/>
      <c r="F114" s="246"/>
      <c r="G114" s="246"/>
      <c r="H114" s="246"/>
      <c r="I114" s="246"/>
      <c r="J114" s="246"/>
      <c r="K114" s="246"/>
      <c r="L114" s="246"/>
      <c r="N114" s="246"/>
      <c r="O114" s="246"/>
      <c r="P114" s="246"/>
      <c r="Q114" s="246"/>
      <c r="R114" s="246"/>
      <c r="S114" s="246"/>
      <c r="T114" s="246"/>
      <c r="U114" s="246"/>
      <c r="V114" s="246"/>
      <c r="W114" s="246"/>
      <c r="X114" s="246"/>
      <c r="Z114" s="246"/>
      <c r="AA114" s="246"/>
      <c r="AB114" s="246"/>
      <c r="AC114" s="246"/>
      <c r="AD114" s="246"/>
      <c r="AE114" s="246"/>
      <c r="AF114" s="246"/>
      <c r="AG114" s="246"/>
      <c r="AH114" s="246"/>
      <c r="AI114" s="246"/>
      <c r="AJ114" s="246"/>
    </row>
    <row r="115" spans="1:36" ht="15">
      <c r="A115" s="236" t="s">
        <v>48</v>
      </c>
      <c r="B115" s="245">
        <v>14</v>
      </c>
      <c r="C115" s="245">
        <v>0.4</v>
      </c>
      <c r="D115" s="245">
        <v>0.05</v>
      </c>
      <c r="E115" s="245">
        <v>0</v>
      </c>
      <c r="F115" s="246"/>
      <c r="G115" s="246"/>
      <c r="H115" s="246"/>
      <c r="I115" s="244">
        <v>3</v>
      </c>
      <c r="J115" s="246"/>
      <c r="K115" s="246"/>
      <c r="L115" s="246"/>
      <c r="N115" s="244"/>
      <c r="O115" s="244"/>
      <c r="P115" s="244"/>
      <c r="Q115" s="244"/>
      <c r="R115" s="246"/>
      <c r="S115" s="246"/>
      <c r="T115" s="246"/>
      <c r="U115" s="244"/>
      <c r="V115" s="246"/>
      <c r="W115" s="246"/>
      <c r="X115" s="246"/>
      <c r="Z115" s="245">
        <v>0</v>
      </c>
      <c r="AA115" s="245">
        <v>0</v>
      </c>
      <c r="AB115" s="245">
        <v>0</v>
      </c>
      <c r="AC115" s="245">
        <v>0</v>
      </c>
      <c r="AD115" s="246"/>
      <c r="AE115" s="246"/>
      <c r="AF115" s="246"/>
      <c r="AG115" s="244">
        <v>3</v>
      </c>
      <c r="AH115" s="246"/>
      <c r="AI115" s="246"/>
      <c r="AJ115" s="246"/>
    </row>
    <row r="116" spans="1:36" ht="15">
      <c r="A116" s="241" t="s">
        <v>49</v>
      </c>
      <c r="B116" s="245">
        <v>14</v>
      </c>
      <c r="C116" s="245">
        <v>0.4</v>
      </c>
      <c r="D116" s="245">
        <v>0.05</v>
      </c>
      <c r="E116" s="245">
        <v>0</v>
      </c>
      <c r="F116" s="246"/>
      <c r="G116" s="246"/>
      <c r="H116" s="246"/>
      <c r="I116" s="244">
        <v>3</v>
      </c>
      <c r="J116" s="246"/>
      <c r="K116" s="246"/>
      <c r="L116" s="246"/>
      <c r="N116" s="244"/>
      <c r="O116" s="244"/>
      <c r="P116" s="244"/>
      <c r="Q116" s="244"/>
      <c r="R116" s="246"/>
      <c r="S116" s="246"/>
      <c r="T116" s="246"/>
      <c r="U116" s="244"/>
      <c r="V116" s="246"/>
      <c r="W116" s="246"/>
      <c r="X116" s="246"/>
      <c r="Z116" s="245">
        <v>0</v>
      </c>
      <c r="AA116" s="245">
        <v>0</v>
      </c>
      <c r="AB116" s="245">
        <v>0</v>
      </c>
      <c r="AC116" s="245">
        <v>0</v>
      </c>
      <c r="AD116" s="246"/>
      <c r="AE116" s="246"/>
      <c r="AF116" s="246"/>
      <c r="AG116" s="244">
        <v>3</v>
      </c>
      <c r="AH116" s="246"/>
      <c r="AI116" s="246"/>
      <c r="AJ116" s="246"/>
    </row>
    <row r="117" spans="1:36" ht="15">
      <c r="A117" s="236" t="s">
        <v>50</v>
      </c>
      <c r="B117" s="245">
        <v>14</v>
      </c>
      <c r="C117" s="245">
        <v>0.4</v>
      </c>
      <c r="D117" s="245">
        <v>0.05</v>
      </c>
      <c r="E117" s="245">
        <v>0</v>
      </c>
      <c r="F117" s="246"/>
      <c r="G117" s="246"/>
      <c r="H117" s="246"/>
      <c r="I117" s="244">
        <v>3</v>
      </c>
      <c r="J117" s="246"/>
      <c r="K117" s="246"/>
      <c r="L117" s="246"/>
      <c r="N117" s="244"/>
      <c r="O117" s="244"/>
      <c r="P117" s="244"/>
      <c r="Q117" s="244"/>
      <c r="R117" s="246"/>
      <c r="S117" s="246"/>
      <c r="T117" s="246"/>
      <c r="U117" s="244"/>
      <c r="V117" s="246"/>
      <c r="W117" s="246"/>
      <c r="X117" s="246"/>
      <c r="Z117" s="245">
        <v>0</v>
      </c>
      <c r="AA117" s="245">
        <v>0</v>
      </c>
      <c r="AB117" s="245">
        <v>0</v>
      </c>
      <c r="AC117" s="245">
        <v>0</v>
      </c>
      <c r="AD117" s="246"/>
      <c r="AE117" s="246"/>
      <c r="AF117" s="246"/>
      <c r="AG117" s="244">
        <v>3</v>
      </c>
      <c r="AH117" s="246"/>
      <c r="AI117" s="246"/>
      <c r="AJ117" s="246"/>
    </row>
    <row r="118" spans="1:36" ht="15.75" thickBot="1">
      <c r="A118" s="242" t="s">
        <v>51</v>
      </c>
      <c r="B118" s="245">
        <v>14</v>
      </c>
      <c r="C118" s="245">
        <v>0.4</v>
      </c>
      <c r="D118" s="245">
        <v>0.05</v>
      </c>
      <c r="E118" s="245">
        <v>0</v>
      </c>
      <c r="F118" s="246"/>
      <c r="G118" s="246"/>
      <c r="H118" s="246"/>
      <c r="I118" s="244">
        <v>3</v>
      </c>
      <c r="J118" s="246"/>
      <c r="K118" s="246"/>
      <c r="L118" s="246"/>
      <c r="N118" s="244"/>
      <c r="O118" s="244"/>
      <c r="P118" s="244"/>
      <c r="Q118" s="244"/>
      <c r="R118" s="246"/>
      <c r="S118" s="246"/>
      <c r="T118" s="246"/>
      <c r="U118" s="244"/>
      <c r="V118" s="246"/>
      <c r="W118" s="246"/>
      <c r="X118" s="246"/>
      <c r="Z118" s="245">
        <v>0</v>
      </c>
      <c r="AA118" s="245">
        <v>0</v>
      </c>
      <c r="AB118" s="245">
        <v>0</v>
      </c>
      <c r="AC118" s="245">
        <v>0</v>
      </c>
      <c r="AD118" s="246"/>
      <c r="AE118" s="246"/>
      <c r="AF118" s="246"/>
      <c r="AG118" s="244">
        <v>3</v>
      </c>
      <c r="AH118" s="246"/>
      <c r="AI118" s="246"/>
      <c r="AJ118" s="246"/>
    </row>
    <row r="119" spans="1:36" ht="15.75">
      <c r="A119" s="235" t="s">
        <v>138</v>
      </c>
      <c r="B119" s="249"/>
      <c r="C119" s="249"/>
      <c r="D119" s="249"/>
      <c r="E119" s="249"/>
      <c r="F119" s="249"/>
      <c r="G119" s="249"/>
      <c r="H119" s="249"/>
      <c r="I119" s="249"/>
      <c r="J119" s="249"/>
      <c r="K119" s="249"/>
      <c r="L119" s="249"/>
      <c r="N119" s="275" t="s">
        <v>137</v>
      </c>
      <c r="O119" s="249"/>
      <c r="P119" s="249"/>
      <c r="Q119" s="249"/>
      <c r="R119" s="249"/>
      <c r="S119" s="249"/>
      <c r="T119" s="249"/>
      <c r="U119" s="249"/>
      <c r="V119" s="249"/>
      <c r="W119" s="249"/>
      <c r="X119" s="249"/>
      <c r="Z119" s="249"/>
      <c r="AA119" s="249"/>
      <c r="AB119" s="249"/>
      <c r="AC119" s="249"/>
      <c r="AD119" s="249"/>
      <c r="AE119" s="249"/>
      <c r="AF119" s="249"/>
      <c r="AG119" s="249"/>
      <c r="AH119" s="249"/>
      <c r="AI119" s="249"/>
      <c r="AJ119" s="249"/>
    </row>
    <row r="120" spans="1:36" ht="15.75">
      <c r="A120" s="243" t="s">
        <v>136</v>
      </c>
      <c r="B120" s="246"/>
      <c r="C120" s="246"/>
      <c r="D120" s="246"/>
      <c r="E120" s="246"/>
      <c r="F120" s="246"/>
      <c r="G120" s="246"/>
      <c r="H120" s="246"/>
      <c r="I120" s="246"/>
      <c r="J120" s="246"/>
      <c r="K120" s="246"/>
      <c r="L120" s="246"/>
      <c r="N120" s="246"/>
      <c r="O120" s="246"/>
      <c r="P120" s="246"/>
      <c r="Q120" s="246"/>
      <c r="R120" s="246"/>
      <c r="S120" s="246"/>
      <c r="T120" s="246"/>
      <c r="U120" s="246"/>
      <c r="V120" s="246"/>
      <c r="W120" s="246"/>
      <c r="X120" s="246"/>
      <c r="Z120" s="246"/>
      <c r="AA120" s="246"/>
      <c r="AB120" s="246"/>
      <c r="AC120" s="246"/>
      <c r="AD120" s="246"/>
      <c r="AE120" s="246"/>
      <c r="AF120" s="246"/>
      <c r="AG120" s="246"/>
      <c r="AH120" s="246"/>
      <c r="AI120" s="246"/>
      <c r="AJ120" s="246"/>
    </row>
    <row r="121" spans="1:36" ht="15">
      <c r="A121" s="236" t="s">
        <v>9</v>
      </c>
      <c r="B121" s="246"/>
      <c r="C121" s="246"/>
      <c r="D121" s="246"/>
      <c r="E121" s="246"/>
      <c r="F121" s="246"/>
      <c r="G121" s="246"/>
      <c r="H121" s="246"/>
      <c r="I121" s="246"/>
      <c r="J121" s="246"/>
      <c r="K121" s="246"/>
      <c r="L121" s="246"/>
      <c r="N121" s="246"/>
      <c r="O121" s="246"/>
      <c r="P121" s="246"/>
      <c r="Q121" s="246"/>
      <c r="R121" s="246"/>
      <c r="S121" s="246"/>
      <c r="T121" s="246"/>
      <c r="U121" s="246"/>
      <c r="V121" s="246"/>
      <c r="W121" s="246"/>
      <c r="X121" s="246"/>
      <c r="Z121" s="246"/>
      <c r="AA121" s="246"/>
      <c r="AB121" s="246"/>
      <c r="AC121" s="246"/>
      <c r="AD121" s="246"/>
      <c r="AE121" s="246"/>
      <c r="AF121" s="246"/>
      <c r="AG121" s="246"/>
      <c r="AH121" s="246"/>
      <c r="AI121" s="246"/>
      <c r="AJ121" s="246"/>
    </row>
    <row r="122" spans="1:36" ht="15">
      <c r="A122" s="236" t="s">
        <v>13</v>
      </c>
      <c r="B122" s="246"/>
      <c r="C122" s="246"/>
      <c r="D122" s="246"/>
      <c r="E122" s="246"/>
      <c r="F122" s="246"/>
      <c r="G122" s="246"/>
      <c r="H122" s="246"/>
      <c r="I122" s="246"/>
      <c r="J122" s="246"/>
      <c r="K122" s="246"/>
      <c r="L122" s="246"/>
      <c r="N122" s="246"/>
      <c r="O122" s="246"/>
      <c r="P122" s="246"/>
      <c r="Q122" s="246"/>
      <c r="R122" s="246"/>
      <c r="S122" s="246"/>
      <c r="T122" s="246"/>
      <c r="U122" s="246"/>
      <c r="V122" s="246"/>
      <c r="W122" s="246"/>
      <c r="X122" s="246"/>
      <c r="Z122" s="246"/>
      <c r="AA122" s="246"/>
      <c r="AB122" s="246"/>
      <c r="AC122" s="246"/>
      <c r="AD122" s="246"/>
      <c r="AE122" s="246"/>
      <c r="AF122" s="246"/>
      <c r="AG122" s="246"/>
      <c r="AH122" s="246"/>
      <c r="AI122" s="246"/>
      <c r="AJ122" s="246"/>
    </row>
    <row r="123" spans="1:36" ht="15">
      <c r="A123" s="236" t="s">
        <v>10</v>
      </c>
      <c r="B123" s="244">
        <v>99.5</v>
      </c>
      <c r="C123" s="244">
        <v>0</v>
      </c>
      <c r="D123" s="244">
        <v>90</v>
      </c>
      <c r="E123" s="244">
        <v>0</v>
      </c>
      <c r="F123" s="246"/>
      <c r="G123" s="246"/>
      <c r="H123" s="246"/>
      <c r="I123" s="244">
        <v>99</v>
      </c>
      <c r="J123" s="246"/>
      <c r="K123" s="246"/>
      <c r="L123" s="246"/>
      <c r="N123" s="244">
        <v>90</v>
      </c>
      <c r="O123" s="244">
        <v>0</v>
      </c>
      <c r="P123" s="244">
        <v>0</v>
      </c>
      <c r="Q123" s="244">
        <v>0</v>
      </c>
      <c r="R123" s="246"/>
      <c r="S123" s="246"/>
      <c r="T123" s="246"/>
      <c r="U123" s="244">
        <v>0</v>
      </c>
      <c r="V123" s="246"/>
      <c r="W123" s="246"/>
      <c r="X123" s="246"/>
      <c r="Z123" s="244">
        <v>95</v>
      </c>
      <c r="AA123" s="244">
        <v>0</v>
      </c>
      <c r="AB123" s="244">
        <v>50</v>
      </c>
      <c r="AC123" s="244">
        <v>0</v>
      </c>
      <c r="AD123" s="246"/>
      <c r="AE123" s="246"/>
      <c r="AF123" s="246"/>
      <c r="AG123" s="244">
        <v>99</v>
      </c>
      <c r="AH123" s="246"/>
      <c r="AI123" s="246"/>
      <c r="AJ123" s="246"/>
    </row>
    <row r="124" spans="1:36" ht="15">
      <c r="A124" s="236" t="s">
        <v>11</v>
      </c>
      <c r="B124" s="244">
        <v>99.5</v>
      </c>
      <c r="C124" s="244">
        <v>0</v>
      </c>
      <c r="D124" s="244">
        <v>90</v>
      </c>
      <c r="E124" s="244">
        <v>0</v>
      </c>
      <c r="F124" s="246"/>
      <c r="G124" s="246"/>
      <c r="H124" s="246"/>
      <c r="I124" s="244">
        <v>95</v>
      </c>
      <c r="J124" s="246"/>
      <c r="K124" s="246"/>
      <c r="L124" s="246"/>
      <c r="N124" s="244">
        <v>80</v>
      </c>
      <c r="O124" s="244">
        <v>0</v>
      </c>
      <c r="P124" s="244">
        <v>0</v>
      </c>
      <c r="Q124" s="244">
        <v>0</v>
      </c>
      <c r="R124" s="246"/>
      <c r="S124" s="246"/>
      <c r="T124" s="246"/>
      <c r="U124" s="244">
        <v>0</v>
      </c>
      <c r="V124" s="246"/>
      <c r="W124" s="246"/>
      <c r="X124" s="246"/>
      <c r="Z124" s="244">
        <v>95</v>
      </c>
      <c r="AA124" s="244">
        <v>0</v>
      </c>
      <c r="AB124" s="244">
        <v>50</v>
      </c>
      <c r="AC124" s="244">
        <v>0</v>
      </c>
      <c r="AD124" s="246"/>
      <c r="AE124" s="246"/>
      <c r="AF124" s="246"/>
      <c r="AG124" s="244">
        <v>95</v>
      </c>
      <c r="AH124" s="246"/>
      <c r="AI124" s="246"/>
      <c r="AJ124" s="246"/>
    </row>
    <row r="125" spans="1:36" ht="15">
      <c r="A125" s="236" t="s">
        <v>12</v>
      </c>
      <c r="B125" s="244">
        <v>99</v>
      </c>
      <c r="C125" s="244">
        <v>0</v>
      </c>
      <c r="D125" s="244">
        <v>90</v>
      </c>
      <c r="E125" s="244">
        <v>0</v>
      </c>
      <c r="F125" s="246"/>
      <c r="G125" s="246"/>
      <c r="H125" s="246"/>
      <c r="I125" s="244">
        <v>90</v>
      </c>
      <c r="J125" s="246"/>
      <c r="K125" s="246"/>
      <c r="L125" s="246"/>
      <c r="N125" s="244">
        <v>0</v>
      </c>
      <c r="O125" s="244">
        <v>0</v>
      </c>
      <c r="P125" s="244">
        <v>0</v>
      </c>
      <c r="Q125" s="244">
        <v>0</v>
      </c>
      <c r="R125" s="246"/>
      <c r="S125" s="246"/>
      <c r="T125" s="246"/>
      <c r="U125" s="244">
        <v>0</v>
      </c>
      <c r="V125" s="246"/>
      <c r="W125" s="246"/>
      <c r="X125" s="246"/>
      <c r="Z125" s="244">
        <v>95</v>
      </c>
      <c r="AA125" s="244">
        <v>0</v>
      </c>
      <c r="AB125" s="244">
        <v>50</v>
      </c>
      <c r="AC125" s="244">
        <v>0</v>
      </c>
      <c r="AD125" s="246"/>
      <c r="AE125" s="246"/>
      <c r="AF125" s="246"/>
      <c r="AG125" s="244">
        <v>90</v>
      </c>
      <c r="AH125" s="246"/>
      <c r="AI125" s="246"/>
      <c r="AJ125" s="246"/>
    </row>
    <row r="126" spans="1:36" ht="15">
      <c r="A126" s="236" t="s">
        <v>14</v>
      </c>
      <c r="B126" s="244">
        <v>99</v>
      </c>
      <c r="C126" s="244">
        <v>0</v>
      </c>
      <c r="D126" s="244">
        <v>90</v>
      </c>
      <c r="E126" s="244">
        <v>0</v>
      </c>
      <c r="F126" s="246"/>
      <c r="G126" s="246"/>
      <c r="H126" s="246"/>
      <c r="I126" s="244">
        <v>0</v>
      </c>
      <c r="J126" s="246"/>
      <c r="K126" s="246"/>
      <c r="L126" s="246"/>
      <c r="N126" s="244">
        <v>90</v>
      </c>
      <c r="O126" s="244">
        <v>90</v>
      </c>
      <c r="P126" s="244">
        <v>90</v>
      </c>
      <c r="Q126" s="244">
        <v>90</v>
      </c>
      <c r="R126" s="246"/>
      <c r="S126" s="246"/>
      <c r="T126" s="246"/>
      <c r="U126" s="244">
        <v>0</v>
      </c>
      <c r="V126" s="246"/>
      <c r="W126" s="246"/>
      <c r="X126" s="246"/>
      <c r="Z126" s="244">
        <v>95</v>
      </c>
      <c r="AA126" s="244">
        <v>0</v>
      </c>
      <c r="AB126" s="244">
        <v>50</v>
      </c>
      <c r="AC126" s="244">
        <v>0</v>
      </c>
      <c r="AD126" s="246"/>
      <c r="AE126" s="246"/>
      <c r="AF126" s="246"/>
      <c r="AG126" s="244">
        <v>0</v>
      </c>
      <c r="AH126" s="246"/>
      <c r="AI126" s="246"/>
      <c r="AJ126" s="246"/>
    </row>
    <row r="127" spans="1:36" ht="15">
      <c r="A127" s="236" t="s">
        <v>15</v>
      </c>
      <c r="B127" s="244">
        <v>0</v>
      </c>
      <c r="C127" s="244">
        <v>90</v>
      </c>
      <c r="D127" s="244">
        <v>90</v>
      </c>
      <c r="E127" s="244">
        <v>0</v>
      </c>
      <c r="F127" s="246"/>
      <c r="G127" s="246"/>
      <c r="H127" s="246"/>
      <c r="I127" s="244">
        <v>0</v>
      </c>
      <c r="J127" s="246"/>
      <c r="K127" s="246"/>
      <c r="L127" s="246"/>
      <c r="N127" s="244">
        <v>90</v>
      </c>
      <c r="O127" s="244">
        <v>90</v>
      </c>
      <c r="P127" s="244">
        <v>90</v>
      </c>
      <c r="Q127" s="244">
        <v>90</v>
      </c>
      <c r="R127" s="246"/>
      <c r="S127" s="246"/>
      <c r="T127" s="246"/>
      <c r="U127" s="244">
        <v>0</v>
      </c>
      <c r="V127" s="246"/>
      <c r="W127" s="246"/>
      <c r="X127" s="246"/>
      <c r="Z127" s="244">
        <v>0</v>
      </c>
      <c r="AA127" s="244">
        <v>50</v>
      </c>
      <c r="AB127" s="244">
        <v>50</v>
      </c>
      <c r="AC127" s="244">
        <v>0</v>
      </c>
      <c r="AD127" s="246"/>
      <c r="AE127" s="246"/>
      <c r="AF127" s="246"/>
      <c r="AG127" s="244">
        <v>0</v>
      </c>
      <c r="AH127" s="246"/>
      <c r="AI127" s="246"/>
      <c r="AJ127" s="246"/>
    </row>
    <row r="128" spans="1:36" ht="15">
      <c r="A128" s="236" t="s">
        <v>16</v>
      </c>
      <c r="B128" s="244">
        <v>0</v>
      </c>
      <c r="C128" s="244">
        <v>0</v>
      </c>
      <c r="D128" s="244">
        <v>90</v>
      </c>
      <c r="E128" s="244">
        <v>0</v>
      </c>
      <c r="F128" s="246"/>
      <c r="G128" s="246"/>
      <c r="H128" s="246"/>
      <c r="I128" s="244">
        <v>0</v>
      </c>
      <c r="J128" s="246"/>
      <c r="K128" s="246"/>
      <c r="L128" s="246"/>
      <c r="N128" s="244">
        <v>0</v>
      </c>
      <c r="O128" s="244">
        <v>0</v>
      </c>
      <c r="P128" s="244">
        <v>0</v>
      </c>
      <c r="Q128" s="244">
        <v>0</v>
      </c>
      <c r="R128" s="246"/>
      <c r="S128" s="246"/>
      <c r="T128" s="246"/>
      <c r="U128" s="244">
        <v>0</v>
      </c>
      <c r="V128" s="246"/>
      <c r="W128" s="246"/>
      <c r="X128" s="246"/>
      <c r="Z128" s="244">
        <v>0</v>
      </c>
      <c r="AA128" s="244">
        <v>0</v>
      </c>
      <c r="AB128" s="244">
        <v>50</v>
      </c>
      <c r="AC128" s="244">
        <v>0</v>
      </c>
      <c r="AD128" s="246"/>
      <c r="AE128" s="246"/>
      <c r="AF128" s="246"/>
      <c r="AG128" s="244">
        <v>0</v>
      </c>
      <c r="AH128" s="246"/>
      <c r="AI128" s="246"/>
      <c r="AJ128" s="246"/>
    </row>
    <row r="129" spans="1:36" ht="15">
      <c r="A129" s="236" t="s">
        <v>17</v>
      </c>
      <c r="B129" s="244">
        <v>0</v>
      </c>
      <c r="C129" s="244">
        <v>0</v>
      </c>
      <c r="D129" s="244">
        <v>0</v>
      </c>
      <c r="E129" s="244">
        <v>0</v>
      </c>
      <c r="F129" s="246"/>
      <c r="G129" s="246"/>
      <c r="H129" s="246"/>
      <c r="I129" s="244">
        <v>0</v>
      </c>
      <c r="J129" s="246"/>
      <c r="K129" s="246"/>
      <c r="L129" s="246"/>
      <c r="N129" s="244">
        <v>0</v>
      </c>
      <c r="O129" s="244">
        <v>0</v>
      </c>
      <c r="P129" s="244">
        <v>0</v>
      </c>
      <c r="Q129" s="244">
        <v>0</v>
      </c>
      <c r="R129" s="246"/>
      <c r="S129" s="246"/>
      <c r="T129" s="246"/>
      <c r="U129" s="244">
        <v>0</v>
      </c>
      <c r="V129" s="246"/>
      <c r="W129" s="246"/>
      <c r="X129" s="246"/>
      <c r="Z129" s="244">
        <v>0</v>
      </c>
      <c r="AA129" s="244">
        <v>0</v>
      </c>
      <c r="AB129" s="244">
        <v>0</v>
      </c>
      <c r="AC129" s="244">
        <v>0</v>
      </c>
      <c r="AD129" s="246"/>
      <c r="AE129" s="246"/>
      <c r="AF129" s="246"/>
      <c r="AG129" s="244">
        <v>0</v>
      </c>
      <c r="AH129" s="246"/>
      <c r="AI129" s="246"/>
      <c r="AJ129" s="246"/>
    </row>
    <row r="130" spans="1:36" ht="15">
      <c r="A130" s="236" t="s">
        <v>18</v>
      </c>
      <c r="B130" s="244">
        <v>0</v>
      </c>
      <c r="C130" s="244">
        <v>0</v>
      </c>
      <c r="D130" s="244">
        <v>0</v>
      </c>
      <c r="E130" s="244">
        <v>0</v>
      </c>
      <c r="F130" s="246"/>
      <c r="G130" s="246"/>
      <c r="H130" s="246"/>
      <c r="I130" s="244">
        <v>0</v>
      </c>
      <c r="J130" s="246"/>
      <c r="K130" s="246"/>
      <c r="L130" s="246"/>
      <c r="N130" s="244">
        <v>0</v>
      </c>
      <c r="O130" s="244">
        <v>0</v>
      </c>
      <c r="P130" s="244">
        <v>0</v>
      </c>
      <c r="Q130" s="244">
        <v>0</v>
      </c>
      <c r="R130" s="246"/>
      <c r="S130" s="246"/>
      <c r="T130" s="246"/>
      <c r="U130" s="244">
        <v>0</v>
      </c>
      <c r="V130" s="246"/>
      <c r="W130" s="246"/>
      <c r="X130" s="246"/>
      <c r="Z130" s="244">
        <v>0</v>
      </c>
      <c r="AA130" s="244">
        <v>0</v>
      </c>
      <c r="AB130" s="244">
        <v>0</v>
      </c>
      <c r="AC130" s="244">
        <v>0</v>
      </c>
      <c r="AD130" s="246"/>
      <c r="AE130" s="246"/>
      <c r="AF130" s="246"/>
      <c r="AG130" s="244">
        <v>0</v>
      </c>
      <c r="AH130" s="246"/>
      <c r="AI130" s="246"/>
      <c r="AJ130" s="246"/>
    </row>
    <row r="131" spans="1:36" ht="15">
      <c r="A131" s="236" t="s">
        <v>19</v>
      </c>
      <c r="B131" s="244">
        <v>0</v>
      </c>
      <c r="C131" s="244">
        <v>0</v>
      </c>
      <c r="D131" s="244">
        <v>0</v>
      </c>
      <c r="E131" s="244">
        <v>0</v>
      </c>
      <c r="F131" s="246"/>
      <c r="G131" s="246"/>
      <c r="H131" s="246"/>
      <c r="I131" s="244">
        <v>0</v>
      </c>
      <c r="J131" s="246"/>
      <c r="K131" s="246"/>
      <c r="L131" s="246"/>
      <c r="N131" s="244">
        <v>0</v>
      </c>
      <c r="O131" s="244">
        <v>0</v>
      </c>
      <c r="P131" s="244">
        <v>0</v>
      </c>
      <c r="Q131" s="244">
        <v>0</v>
      </c>
      <c r="R131" s="246"/>
      <c r="S131" s="246"/>
      <c r="T131" s="246"/>
      <c r="U131" s="244">
        <v>0</v>
      </c>
      <c r="V131" s="246"/>
      <c r="W131" s="246"/>
      <c r="X131" s="246"/>
      <c r="Z131" s="244">
        <v>0</v>
      </c>
      <c r="AA131" s="244">
        <v>0</v>
      </c>
      <c r="AB131" s="244">
        <v>0</v>
      </c>
      <c r="AC131" s="244">
        <v>0</v>
      </c>
      <c r="AD131" s="246"/>
      <c r="AE131" s="246"/>
      <c r="AF131" s="246"/>
      <c r="AG131" s="244">
        <v>0</v>
      </c>
      <c r="AH131" s="246"/>
      <c r="AI131" s="246"/>
      <c r="AJ131" s="246"/>
    </row>
    <row r="132" spans="1:36" ht="15">
      <c r="A132" s="92" t="s">
        <v>20</v>
      </c>
      <c r="B132" s="244">
        <v>0</v>
      </c>
      <c r="C132" s="244">
        <v>0</v>
      </c>
      <c r="D132" s="244">
        <v>0</v>
      </c>
      <c r="E132" s="244">
        <v>0</v>
      </c>
      <c r="F132" s="246"/>
      <c r="G132" s="246"/>
      <c r="H132" s="246"/>
      <c r="I132" s="244">
        <v>0</v>
      </c>
      <c r="J132" s="246"/>
      <c r="K132" s="246"/>
      <c r="L132" s="246"/>
      <c r="N132" s="244">
        <v>0</v>
      </c>
      <c r="O132" s="244">
        <v>0</v>
      </c>
      <c r="P132" s="244">
        <v>0</v>
      </c>
      <c r="Q132" s="244">
        <v>0</v>
      </c>
      <c r="R132" s="246"/>
      <c r="S132" s="246"/>
      <c r="T132" s="246"/>
      <c r="U132" s="244">
        <v>0</v>
      </c>
      <c r="V132" s="246"/>
      <c r="W132" s="246"/>
      <c r="X132" s="246"/>
      <c r="Z132" s="244">
        <v>0</v>
      </c>
      <c r="AA132" s="244">
        <v>0</v>
      </c>
      <c r="AB132" s="244">
        <v>0</v>
      </c>
      <c r="AC132" s="244">
        <v>0</v>
      </c>
      <c r="AD132" s="246"/>
      <c r="AE132" s="246"/>
      <c r="AF132" s="246"/>
      <c r="AG132" s="244">
        <v>0</v>
      </c>
      <c r="AH132" s="246"/>
      <c r="AI132" s="246"/>
      <c r="AJ132" s="246"/>
    </row>
    <row r="133" spans="1:36" ht="15.75" thickBot="1">
      <c r="A133" s="236"/>
      <c r="B133" s="246"/>
      <c r="C133" s="246"/>
      <c r="D133" s="246"/>
      <c r="E133" s="246"/>
      <c r="F133" s="246"/>
      <c r="G133" s="246"/>
      <c r="H133" s="246"/>
      <c r="I133" s="246"/>
      <c r="J133" s="246"/>
      <c r="K133" s="246"/>
      <c r="L133" s="246"/>
      <c r="N133" s="246"/>
      <c r="O133" s="246"/>
      <c r="P133" s="246"/>
      <c r="Q133" s="246"/>
      <c r="R133" s="246"/>
      <c r="S133" s="246"/>
      <c r="T133" s="246"/>
      <c r="U133" s="246"/>
      <c r="V133" s="246"/>
      <c r="W133" s="246"/>
      <c r="X133" s="246"/>
      <c r="Z133" s="246"/>
      <c r="AA133" s="246"/>
      <c r="AB133" s="246"/>
      <c r="AC133" s="246"/>
      <c r="AD133" s="246"/>
      <c r="AE133" s="246"/>
      <c r="AF133" s="246"/>
      <c r="AG133" s="246"/>
      <c r="AH133" s="246"/>
      <c r="AI133" s="246"/>
      <c r="AJ133" s="246"/>
    </row>
    <row r="134" spans="1:36" ht="16.5" thickBot="1">
      <c r="A134" s="237" t="s">
        <v>21</v>
      </c>
      <c r="B134" s="246"/>
      <c r="C134" s="246"/>
      <c r="D134" s="246"/>
      <c r="E134" s="246"/>
      <c r="F134" s="246"/>
      <c r="G134" s="246"/>
      <c r="H134" s="246"/>
      <c r="I134" s="246"/>
      <c r="J134" s="246"/>
      <c r="K134" s="246"/>
      <c r="L134" s="246"/>
      <c r="N134" s="246"/>
      <c r="O134" s="246"/>
      <c r="P134" s="246"/>
      <c r="Q134" s="246"/>
      <c r="R134" s="246"/>
      <c r="S134" s="246"/>
      <c r="T134" s="246"/>
      <c r="U134" s="246"/>
      <c r="V134" s="246"/>
      <c r="W134" s="246"/>
      <c r="X134" s="246"/>
      <c r="Z134" s="246"/>
      <c r="AA134" s="246"/>
      <c r="AB134" s="246"/>
      <c r="AC134" s="246"/>
      <c r="AD134" s="246"/>
      <c r="AE134" s="246"/>
      <c r="AF134" s="246"/>
      <c r="AG134" s="246"/>
      <c r="AH134" s="246"/>
      <c r="AI134" s="246"/>
      <c r="AJ134" s="246"/>
    </row>
    <row r="135" spans="1:36" ht="15">
      <c r="A135" s="238" t="s">
        <v>22</v>
      </c>
      <c r="B135" s="246"/>
      <c r="C135" s="246"/>
      <c r="D135" s="246"/>
      <c r="E135" s="246"/>
      <c r="F135" s="246"/>
      <c r="G135" s="246"/>
      <c r="H135" s="246"/>
      <c r="I135" s="246"/>
      <c r="J135" s="246"/>
      <c r="K135" s="246"/>
      <c r="L135" s="246"/>
      <c r="N135" s="246"/>
      <c r="O135" s="246"/>
      <c r="P135" s="246"/>
      <c r="Q135" s="246"/>
      <c r="R135" s="246"/>
      <c r="S135" s="246"/>
      <c r="T135" s="246"/>
      <c r="U135" s="246"/>
      <c r="V135" s="246"/>
      <c r="W135" s="246"/>
      <c r="X135" s="246"/>
      <c r="Z135" s="246"/>
      <c r="AA135" s="246"/>
      <c r="AB135" s="246"/>
      <c r="AC135" s="246"/>
      <c r="AD135" s="246"/>
      <c r="AE135" s="246"/>
      <c r="AF135" s="246"/>
      <c r="AG135" s="246"/>
      <c r="AH135" s="246"/>
      <c r="AI135" s="246"/>
      <c r="AJ135" s="246"/>
    </row>
    <row r="136" spans="1:36" ht="15">
      <c r="A136" s="236" t="s">
        <v>23</v>
      </c>
      <c r="B136" s="244">
        <v>90</v>
      </c>
      <c r="C136" s="244">
        <v>0</v>
      </c>
      <c r="D136" s="244">
        <v>0</v>
      </c>
      <c r="E136" s="244">
        <v>0</v>
      </c>
      <c r="F136" s="246"/>
      <c r="G136" s="246"/>
      <c r="H136" s="246"/>
      <c r="I136" s="244">
        <v>50</v>
      </c>
      <c r="J136" s="246"/>
      <c r="K136" s="246"/>
      <c r="L136" s="246"/>
      <c r="N136" s="244">
        <v>0</v>
      </c>
      <c r="O136" s="244">
        <v>0</v>
      </c>
      <c r="P136" s="244">
        <v>0</v>
      </c>
      <c r="Q136" s="244">
        <v>0</v>
      </c>
      <c r="R136" s="246"/>
      <c r="S136" s="246"/>
      <c r="T136" s="246"/>
      <c r="U136" s="244">
        <v>0</v>
      </c>
      <c r="V136" s="246"/>
      <c r="W136" s="246"/>
      <c r="X136" s="246"/>
      <c r="Z136" s="244">
        <v>50</v>
      </c>
      <c r="AA136" s="244">
        <v>0</v>
      </c>
      <c r="AB136" s="244">
        <v>0</v>
      </c>
      <c r="AC136" s="244">
        <v>0</v>
      </c>
      <c r="AD136" s="246"/>
      <c r="AE136" s="246"/>
      <c r="AF136" s="246"/>
      <c r="AG136" s="244">
        <v>0</v>
      </c>
      <c r="AH136" s="246"/>
      <c r="AI136" s="246"/>
      <c r="AJ136" s="246"/>
    </row>
    <row r="137" spans="1:36" ht="15">
      <c r="A137" s="236" t="s">
        <v>24</v>
      </c>
      <c r="B137" s="244">
        <v>50</v>
      </c>
      <c r="C137" s="244">
        <v>0</v>
      </c>
      <c r="D137" s="244">
        <v>0</v>
      </c>
      <c r="E137" s="244">
        <v>0</v>
      </c>
      <c r="F137" s="246"/>
      <c r="G137" s="246"/>
      <c r="H137" s="246"/>
      <c r="I137" s="244">
        <v>50</v>
      </c>
      <c r="J137" s="246"/>
      <c r="K137" s="246"/>
      <c r="L137" s="246"/>
      <c r="N137" s="244">
        <v>0</v>
      </c>
      <c r="O137" s="244">
        <v>0</v>
      </c>
      <c r="P137" s="244">
        <v>0</v>
      </c>
      <c r="Q137" s="244">
        <v>0</v>
      </c>
      <c r="R137" s="246"/>
      <c r="S137" s="246"/>
      <c r="T137" s="246"/>
      <c r="U137" s="244">
        <v>0</v>
      </c>
      <c r="V137" s="246"/>
      <c r="W137" s="246"/>
      <c r="X137" s="246"/>
      <c r="Z137" s="244">
        <v>0</v>
      </c>
      <c r="AA137" s="244">
        <v>0</v>
      </c>
      <c r="AB137" s="244">
        <v>0</v>
      </c>
      <c r="AC137" s="244">
        <v>0</v>
      </c>
      <c r="AD137" s="246"/>
      <c r="AE137" s="246"/>
      <c r="AF137" s="246"/>
      <c r="AG137" s="244">
        <v>0</v>
      </c>
      <c r="AH137" s="246"/>
      <c r="AI137" s="246"/>
      <c r="AJ137" s="246"/>
    </row>
    <row r="138" spans="1:36" ht="15">
      <c r="A138" s="236" t="s">
        <v>25</v>
      </c>
      <c r="B138" s="244">
        <v>50</v>
      </c>
      <c r="C138" s="244">
        <v>0</v>
      </c>
      <c r="D138" s="244">
        <v>0</v>
      </c>
      <c r="E138" s="244">
        <v>0</v>
      </c>
      <c r="F138" s="246"/>
      <c r="G138" s="246"/>
      <c r="H138" s="246"/>
      <c r="I138" s="244">
        <v>50</v>
      </c>
      <c r="J138" s="246"/>
      <c r="K138" s="246"/>
      <c r="L138" s="246"/>
      <c r="N138" s="244">
        <v>0</v>
      </c>
      <c r="O138" s="244">
        <v>0</v>
      </c>
      <c r="P138" s="244">
        <v>0</v>
      </c>
      <c r="Q138" s="244">
        <v>0</v>
      </c>
      <c r="R138" s="246"/>
      <c r="S138" s="246"/>
      <c r="T138" s="246"/>
      <c r="U138" s="244">
        <v>0</v>
      </c>
      <c r="V138" s="246"/>
      <c r="W138" s="246"/>
      <c r="X138" s="246"/>
      <c r="Z138" s="244">
        <v>0</v>
      </c>
      <c r="AA138" s="244">
        <v>0</v>
      </c>
      <c r="AB138" s="244">
        <v>0</v>
      </c>
      <c r="AC138" s="244">
        <v>0</v>
      </c>
      <c r="AD138" s="246"/>
      <c r="AE138" s="246"/>
      <c r="AF138" s="246"/>
      <c r="AG138" s="244">
        <v>0</v>
      </c>
      <c r="AH138" s="246"/>
      <c r="AI138" s="246"/>
      <c r="AJ138" s="246"/>
    </row>
    <row r="139" spans="1:36" ht="15">
      <c r="A139" s="236" t="s">
        <v>26</v>
      </c>
      <c r="B139" s="244">
        <v>90</v>
      </c>
      <c r="C139" s="244">
        <v>0</v>
      </c>
      <c r="D139" s="244">
        <v>0</v>
      </c>
      <c r="E139" s="244">
        <v>0</v>
      </c>
      <c r="F139" s="246"/>
      <c r="G139" s="246"/>
      <c r="H139" s="246"/>
      <c r="I139" s="244">
        <v>50</v>
      </c>
      <c r="J139" s="246"/>
      <c r="K139" s="246"/>
      <c r="L139" s="246"/>
      <c r="N139" s="244">
        <v>0</v>
      </c>
      <c r="O139" s="244">
        <v>0</v>
      </c>
      <c r="P139" s="244">
        <v>0</v>
      </c>
      <c r="Q139" s="244">
        <v>0</v>
      </c>
      <c r="R139" s="246"/>
      <c r="S139" s="246"/>
      <c r="T139" s="246"/>
      <c r="U139" s="244">
        <v>0</v>
      </c>
      <c r="V139" s="246"/>
      <c r="W139" s="246"/>
      <c r="X139" s="246"/>
      <c r="Z139" s="244">
        <v>50</v>
      </c>
      <c r="AA139" s="244">
        <v>0</v>
      </c>
      <c r="AB139" s="244">
        <v>0</v>
      </c>
      <c r="AC139" s="244">
        <v>0</v>
      </c>
      <c r="AD139" s="246"/>
      <c r="AE139" s="246"/>
      <c r="AF139" s="246"/>
      <c r="AG139" s="244">
        <v>0</v>
      </c>
      <c r="AH139" s="246"/>
      <c r="AI139" s="246"/>
      <c r="AJ139" s="246"/>
    </row>
    <row r="140" spans="1:36" ht="15">
      <c r="A140" s="236" t="s">
        <v>27</v>
      </c>
      <c r="B140" s="244">
        <v>50</v>
      </c>
      <c r="C140" s="244">
        <v>0</v>
      </c>
      <c r="D140" s="244">
        <v>0</v>
      </c>
      <c r="E140" s="244">
        <v>0</v>
      </c>
      <c r="F140" s="246"/>
      <c r="G140" s="246"/>
      <c r="H140" s="246"/>
      <c r="I140" s="244">
        <v>50</v>
      </c>
      <c r="J140" s="246"/>
      <c r="K140" s="246"/>
      <c r="L140" s="246"/>
      <c r="N140" s="244">
        <v>0</v>
      </c>
      <c r="O140" s="244">
        <v>0</v>
      </c>
      <c r="P140" s="244">
        <v>0</v>
      </c>
      <c r="Q140" s="244">
        <v>0</v>
      </c>
      <c r="R140" s="246"/>
      <c r="S140" s="246"/>
      <c r="T140" s="246"/>
      <c r="U140" s="244">
        <v>0</v>
      </c>
      <c r="V140" s="246"/>
      <c r="W140" s="246"/>
      <c r="X140" s="246"/>
      <c r="Z140" s="244">
        <v>0</v>
      </c>
      <c r="AA140" s="244">
        <v>0</v>
      </c>
      <c r="AB140" s="244">
        <v>0</v>
      </c>
      <c r="AC140" s="244">
        <v>0</v>
      </c>
      <c r="AD140" s="246"/>
      <c r="AE140" s="246"/>
      <c r="AF140" s="246"/>
      <c r="AG140" s="244">
        <v>0</v>
      </c>
      <c r="AH140" s="246"/>
      <c r="AI140" s="246"/>
      <c r="AJ140" s="246"/>
    </row>
    <row r="141" spans="1:36" ht="15">
      <c r="A141" s="236" t="s">
        <v>28</v>
      </c>
      <c r="B141" s="244">
        <v>50</v>
      </c>
      <c r="C141" s="244">
        <v>0</v>
      </c>
      <c r="D141" s="244">
        <v>0</v>
      </c>
      <c r="E141" s="244">
        <v>0</v>
      </c>
      <c r="F141" s="246"/>
      <c r="G141" s="246"/>
      <c r="H141" s="246"/>
      <c r="I141" s="244">
        <v>50</v>
      </c>
      <c r="J141" s="246"/>
      <c r="K141" s="246"/>
      <c r="L141" s="246"/>
      <c r="N141" s="244">
        <v>0</v>
      </c>
      <c r="O141" s="244">
        <v>0</v>
      </c>
      <c r="P141" s="244">
        <v>0</v>
      </c>
      <c r="Q141" s="244">
        <v>0</v>
      </c>
      <c r="R141" s="246"/>
      <c r="S141" s="246"/>
      <c r="T141" s="246"/>
      <c r="U141" s="244">
        <v>0</v>
      </c>
      <c r="V141" s="246"/>
      <c r="W141" s="246"/>
      <c r="X141" s="246"/>
      <c r="Z141" s="244">
        <v>0</v>
      </c>
      <c r="AA141" s="244">
        <v>0</v>
      </c>
      <c r="AB141" s="244">
        <v>0</v>
      </c>
      <c r="AC141" s="244">
        <v>0</v>
      </c>
      <c r="AD141" s="246"/>
      <c r="AE141" s="246"/>
      <c r="AF141" s="246"/>
      <c r="AG141" s="244">
        <v>0</v>
      </c>
      <c r="AH141" s="246"/>
      <c r="AI141" s="246"/>
      <c r="AJ141" s="246"/>
    </row>
    <row r="142" spans="1:36" ht="15">
      <c r="A142" s="236" t="s">
        <v>29</v>
      </c>
      <c r="B142" s="244">
        <v>50</v>
      </c>
      <c r="C142" s="244">
        <v>0</v>
      </c>
      <c r="D142" s="244">
        <v>0</v>
      </c>
      <c r="E142" s="244">
        <v>0</v>
      </c>
      <c r="F142" s="246"/>
      <c r="G142" s="246"/>
      <c r="H142" s="246"/>
      <c r="I142" s="244">
        <v>50</v>
      </c>
      <c r="J142" s="246"/>
      <c r="K142" s="246"/>
      <c r="L142" s="246"/>
      <c r="N142" s="244">
        <v>0</v>
      </c>
      <c r="O142" s="244">
        <v>0</v>
      </c>
      <c r="P142" s="244">
        <v>0</v>
      </c>
      <c r="Q142" s="244">
        <v>0</v>
      </c>
      <c r="R142" s="246"/>
      <c r="S142" s="246"/>
      <c r="T142" s="246"/>
      <c r="U142" s="244">
        <v>0</v>
      </c>
      <c r="V142" s="246"/>
      <c r="W142" s="246"/>
      <c r="X142" s="246"/>
      <c r="Z142" s="244">
        <v>0</v>
      </c>
      <c r="AA142" s="244">
        <v>0</v>
      </c>
      <c r="AB142" s="244">
        <v>0</v>
      </c>
      <c r="AC142" s="244">
        <v>0</v>
      </c>
      <c r="AD142" s="246"/>
      <c r="AE142" s="246"/>
      <c r="AF142" s="246"/>
      <c r="AG142" s="244">
        <v>0</v>
      </c>
      <c r="AH142" s="246"/>
      <c r="AI142" s="246"/>
      <c r="AJ142" s="246"/>
    </row>
    <row r="143" spans="1:36" ht="15">
      <c r="A143" s="236" t="s">
        <v>30</v>
      </c>
      <c r="B143" s="244">
        <v>50</v>
      </c>
      <c r="C143" s="244">
        <v>0</v>
      </c>
      <c r="D143" s="244">
        <v>0</v>
      </c>
      <c r="E143" s="244">
        <v>0</v>
      </c>
      <c r="F143" s="246"/>
      <c r="G143" s="246"/>
      <c r="H143" s="246"/>
      <c r="I143" s="244">
        <v>50</v>
      </c>
      <c r="J143" s="246"/>
      <c r="K143" s="246"/>
      <c r="L143" s="246"/>
      <c r="N143" s="244">
        <v>0</v>
      </c>
      <c r="O143" s="244">
        <v>0</v>
      </c>
      <c r="P143" s="244">
        <v>0</v>
      </c>
      <c r="Q143" s="244">
        <v>0</v>
      </c>
      <c r="R143" s="246"/>
      <c r="S143" s="246"/>
      <c r="T143" s="246"/>
      <c r="U143" s="244">
        <v>0</v>
      </c>
      <c r="V143" s="246"/>
      <c r="W143" s="246"/>
      <c r="X143" s="246"/>
      <c r="Z143" s="244">
        <v>0</v>
      </c>
      <c r="AA143" s="244">
        <v>0</v>
      </c>
      <c r="AB143" s="244">
        <v>0</v>
      </c>
      <c r="AC143" s="244">
        <v>0</v>
      </c>
      <c r="AD143" s="246"/>
      <c r="AE143" s="246"/>
      <c r="AF143" s="246"/>
      <c r="AG143" s="244">
        <v>0</v>
      </c>
      <c r="AH143" s="246"/>
      <c r="AI143" s="246"/>
      <c r="AJ143" s="246"/>
    </row>
    <row r="144" spans="1:36" ht="15">
      <c r="A144" s="236" t="s">
        <v>31</v>
      </c>
      <c r="B144" s="244">
        <v>50</v>
      </c>
      <c r="C144" s="244">
        <v>0</v>
      </c>
      <c r="D144" s="244">
        <v>0</v>
      </c>
      <c r="E144" s="244">
        <v>0</v>
      </c>
      <c r="F144" s="246"/>
      <c r="G144" s="246"/>
      <c r="H144" s="246"/>
      <c r="I144" s="244">
        <v>99</v>
      </c>
      <c r="J144" s="246"/>
      <c r="K144" s="246"/>
      <c r="L144" s="246"/>
      <c r="N144" s="244">
        <v>0</v>
      </c>
      <c r="O144" s="244">
        <v>0</v>
      </c>
      <c r="P144" s="244">
        <v>0</v>
      </c>
      <c r="Q144" s="244">
        <v>0</v>
      </c>
      <c r="R144" s="246"/>
      <c r="S144" s="246"/>
      <c r="T144" s="246"/>
      <c r="U144" s="244">
        <v>99</v>
      </c>
      <c r="V144" s="246"/>
      <c r="W144" s="246"/>
      <c r="X144" s="246"/>
      <c r="Z144" s="244">
        <v>0</v>
      </c>
      <c r="AA144" s="244">
        <v>0</v>
      </c>
      <c r="AB144" s="244">
        <v>0</v>
      </c>
      <c r="AC144" s="244">
        <v>0</v>
      </c>
      <c r="AD144" s="246"/>
      <c r="AE144" s="246"/>
      <c r="AF144" s="246"/>
      <c r="AG144" s="244">
        <v>99</v>
      </c>
      <c r="AH144" s="246"/>
      <c r="AI144" s="246"/>
      <c r="AJ144" s="246"/>
    </row>
    <row r="145" spans="1:36" ht="15">
      <c r="A145" s="236" t="s">
        <v>32</v>
      </c>
      <c r="B145" s="244">
        <v>50</v>
      </c>
      <c r="C145" s="244">
        <v>0</v>
      </c>
      <c r="D145" s="244">
        <v>0</v>
      </c>
      <c r="E145" s="244">
        <v>0</v>
      </c>
      <c r="F145" s="246"/>
      <c r="G145" s="246"/>
      <c r="H145" s="246"/>
      <c r="I145" s="244">
        <v>90</v>
      </c>
      <c r="J145" s="246"/>
      <c r="K145" s="246"/>
      <c r="L145" s="246"/>
      <c r="N145" s="244">
        <v>0</v>
      </c>
      <c r="O145" s="244">
        <v>0</v>
      </c>
      <c r="P145" s="244">
        <v>0</v>
      </c>
      <c r="Q145" s="244">
        <v>0</v>
      </c>
      <c r="R145" s="246"/>
      <c r="S145" s="246"/>
      <c r="T145" s="246"/>
      <c r="U145" s="244">
        <v>0</v>
      </c>
      <c r="V145" s="246"/>
      <c r="W145" s="246"/>
      <c r="X145" s="246"/>
      <c r="Z145" s="244">
        <v>0</v>
      </c>
      <c r="AA145" s="244">
        <v>0</v>
      </c>
      <c r="AB145" s="244">
        <v>0</v>
      </c>
      <c r="AC145" s="244">
        <v>0</v>
      </c>
      <c r="AD145" s="246"/>
      <c r="AE145" s="246"/>
      <c r="AF145" s="246"/>
      <c r="AG145" s="244">
        <v>90</v>
      </c>
      <c r="AH145" s="246"/>
      <c r="AI145" s="246"/>
      <c r="AJ145" s="246"/>
    </row>
    <row r="146" spans="1:36" ht="15">
      <c r="A146" s="236" t="s">
        <v>33</v>
      </c>
      <c r="B146" s="244">
        <v>50</v>
      </c>
      <c r="C146" s="244">
        <v>0</v>
      </c>
      <c r="D146" s="244">
        <v>0</v>
      </c>
      <c r="E146" s="244">
        <v>0</v>
      </c>
      <c r="F146" s="246"/>
      <c r="G146" s="246"/>
      <c r="H146" s="246"/>
      <c r="I146" s="244">
        <v>50</v>
      </c>
      <c r="J146" s="246"/>
      <c r="K146" s="246"/>
      <c r="L146" s="246"/>
      <c r="N146" s="244">
        <v>0</v>
      </c>
      <c r="O146" s="244">
        <v>0</v>
      </c>
      <c r="P146" s="244">
        <v>0</v>
      </c>
      <c r="Q146" s="244">
        <v>0</v>
      </c>
      <c r="R146" s="246"/>
      <c r="S146" s="246"/>
      <c r="T146" s="246"/>
      <c r="U146" s="244">
        <v>0</v>
      </c>
      <c r="V146" s="246"/>
      <c r="W146" s="246"/>
      <c r="X146" s="246"/>
      <c r="Z146" s="244">
        <v>0</v>
      </c>
      <c r="AA146" s="244">
        <v>0</v>
      </c>
      <c r="AB146" s="244">
        <v>0</v>
      </c>
      <c r="AC146" s="244">
        <v>0</v>
      </c>
      <c r="AD146" s="246"/>
      <c r="AE146" s="246"/>
      <c r="AF146" s="246"/>
      <c r="AG146" s="244">
        <v>0</v>
      </c>
      <c r="AH146" s="246"/>
      <c r="AI146" s="246"/>
      <c r="AJ146" s="246"/>
    </row>
    <row r="147" spans="1:36" ht="15">
      <c r="A147" s="236" t="s">
        <v>34</v>
      </c>
      <c r="B147" s="244">
        <v>50</v>
      </c>
      <c r="C147" s="244">
        <v>0</v>
      </c>
      <c r="D147" s="244">
        <v>0</v>
      </c>
      <c r="E147" s="244">
        <v>0</v>
      </c>
      <c r="F147" s="246"/>
      <c r="G147" s="246"/>
      <c r="H147" s="246"/>
      <c r="I147" s="244">
        <v>50</v>
      </c>
      <c r="J147" s="246"/>
      <c r="K147" s="246"/>
      <c r="L147" s="246"/>
      <c r="N147" s="244">
        <v>0</v>
      </c>
      <c r="O147" s="244">
        <v>0</v>
      </c>
      <c r="P147" s="244">
        <v>0</v>
      </c>
      <c r="Q147" s="244">
        <v>0</v>
      </c>
      <c r="R147" s="246"/>
      <c r="S147" s="246"/>
      <c r="T147" s="246"/>
      <c r="U147" s="244">
        <v>0</v>
      </c>
      <c r="V147" s="246"/>
      <c r="W147" s="246"/>
      <c r="X147" s="246"/>
      <c r="Z147" s="244">
        <v>0</v>
      </c>
      <c r="AA147" s="244">
        <v>0</v>
      </c>
      <c r="AB147" s="244">
        <v>0</v>
      </c>
      <c r="AC147" s="244">
        <v>0</v>
      </c>
      <c r="AD147" s="246"/>
      <c r="AE147" s="246"/>
      <c r="AF147" s="246"/>
      <c r="AG147" s="244">
        <v>0</v>
      </c>
      <c r="AH147" s="246"/>
      <c r="AI147" s="246"/>
      <c r="AJ147" s="246"/>
    </row>
    <row r="148" spans="1:36" ht="15">
      <c r="A148" s="239" t="s">
        <v>35</v>
      </c>
      <c r="B148" s="244">
        <v>50</v>
      </c>
      <c r="C148" s="244">
        <v>0</v>
      </c>
      <c r="D148" s="244">
        <v>0</v>
      </c>
      <c r="E148" s="244">
        <v>0</v>
      </c>
      <c r="F148" s="246"/>
      <c r="G148" s="246"/>
      <c r="H148" s="246"/>
      <c r="I148" s="244">
        <v>50</v>
      </c>
      <c r="J148" s="246"/>
      <c r="K148" s="246"/>
      <c r="L148" s="246"/>
      <c r="N148" s="244">
        <v>0</v>
      </c>
      <c r="O148" s="244">
        <v>0</v>
      </c>
      <c r="P148" s="244">
        <v>0</v>
      </c>
      <c r="Q148" s="244">
        <v>0</v>
      </c>
      <c r="R148" s="246"/>
      <c r="S148" s="246"/>
      <c r="T148" s="246"/>
      <c r="U148" s="244">
        <v>0</v>
      </c>
      <c r="V148" s="246"/>
      <c r="W148" s="246"/>
      <c r="X148" s="246"/>
      <c r="Z148" s="244">
        <v>0</v>
      </c>
      <c r="AA148" s="244">
        <v>0</v>
      </c>
      <c r="AB148" s="244">
        <v>0</v>
      </c>
      <c r="AC148" s="244">
        <v>0</v>
      </c>
      <c r="AD148" s="246"/>
      <c r="AE148" s="246"/>
      <c r="AF148" s="246"/>
      <c r="AG148" s="244">
        <v>0</v>
      </c>
      <c r="AH148" s="246"/>
      <c r="AI148" s="246"/>
      <c r="AJ148" s="246"/>
    </row>
    <row r="149" spans="1:36" ht="15">
      <c r="A149" s="238" t="s">
        <v>36</v>
      </c>
      <c r="B149" s="246"/>
      <c r="C149" s="246"/>
      <c r="D149" s="246"/>
      <c r="E149" s="246"/>
      <c r="F149" s="246"/>
      <c r="G149" s="246"/>
      <c r="H149" s="246"/>
      <c r="I149" s="246"/>
      <c r="J149" s="246"/>
      <c r="K149" s="246"/>
      <c r="L149" s="246"/>
      <c r="N149" s="246"/>
      <c r="O149" s="246"/>
      <c r="P149" s="246"/>
      <c r="Q149" s="246"/>
      <c r="R149" s="246"/>
      <c r="S149" s="246"/>
      <c r="T149" s="246"/>
      <c r="U149" s="246"/>
      <c r="V149" s="246"/>
      <c r="W149" s="246"/>
      <c r="X149" s="246"/>
      <c r="Z149" s="246"/>
      <c r="AA149" s="246"/>
      <c r="AB149" s="246"/>
      <c r="AC149" s="246"/>
      <c r="AD149" s="246"/>
      <c r="AE149" s="246"/>
      <c r="AF149" s="246"/>
      <c r="AG149" s="246"/>
      <c r="AH149" s="246"/>
      <c r="AI149" s="246"/>
      <c r="AJ149" s="246"/>
    </row>
    <row r="150" spans="1:36" ht="15">
      <c r="A150" s="240" t="s">
        <v>120</v>
      </c>
      <c r="B150" s="244">
        <v>50</v>
      </c>
      <c r="C150" s="244">
        <v>0</v>
      </c>
      <c r="D150" s="244">
        <v>0</v>
      </c>
      <c r="E150" s="244">
        <v>0</v>
      </c>
      <c r="F150" s="246"/>
      <c r="G150" s="246"/>
      <c r="H150" s="246"/>
      <c r="I150" s="244">
        <v>0</v>
      </c>
      <c r="J150" s="246"/>
      <c r="K150" s="246"/>
      <c r="L150" s="246"/>
      <c r="N150" s="244">
        <v>0</v>
      </c>
      <c r="O150" s="244">
        <v>0</v>
      </c>
      <c r="P150" s="244">
        <v>0</v>
      </c>
      <c r="Q150" s="244">
        <v>0</v>
      </c>
      <c r="R150" s="246"/>
      <c r="S150" s="246"/>
      <c r="T150" s="246"/>
      <c r="U150" s="244">
        <v>0</v>
      </c>
      <c r="V150" s="246"/>
      <c r="W150" s="246"/>
      <c r="X150" s="246"/>
      <c r="Z150" s="244">
        <v>0</v>
      </c>
      <c r="AA150" s="244">
        <v>0</v>
      </c>
      <c r="AB150" s="244">
        <v>0</v>
      </c>
      <c r="AC150" s="244">
        <v>0</v>
      </c>
      <c r="AD150" s="246"/>
      <c r="AE150" s="246"/>
      <c r="AF150" s="246"/>
      <c r="AG150" s="244">
        <v>0</v>
      </c>
      <c r="AH150" s="246"/>
      <c r="AI150" s="246"/>
      <c r="AJ150" s="246"/>
    </row>
    <row r="151" spans="1:36" ht="15">
      <c r="A151" s="236" t="s">
        <v>119</v>
      </c>
      <c r="B151" s="244">
        <v>50</v>
      </c>
      <c r="C151" s="244">
        <v>0</v>
      </c>
      <c r="D151" s="244">
        <v>0</v>
      </c>
      <c r="E151" s="244">
        <v>0</v>
      </c>
      <c r="F151" s="246"/>
      <c r="G151" s="246"/>
      <c r="H151" s="246"/>
      <c r="I151" s="244">
        <v>0</v>
      </c>
      <c r="J151" s="246"/>
      <c r="K151" s="246"/>
      <c r="L151" s="246"/>
      <c r="N151" s="244">
        <v>0</v>
      </c>
      <c r="O151" s="244">
        <v>0</v>
      </c>
      <c r="P151" s="244">
        <v>0</v>
      </c>
      <c r="Q151" s="244">
        <v>0</v>
      </c>
      <c r="R151" s="246"/>
      <c r="S151" s="246"/>
      <c r="T151" s="246"/>
      <c r="U151" s="244">
        <v>0</v>
      </c>
      <c r="V151" s="246"/>
      <c r="W151" s="246"/>
      <c r="X151" s="246"/>
      <c r="Z151" s="244">
        <v>0</v>
      </c>
      <c r="AA151" s="244">
        <v>0</v>
      </c>
      <c r="AB151" s="244">
        <v>0</v>
      </c>
      <c r="AC151" s="244">
        <v>0</v>
      </c>
      <c r="AD151" s="246"/>
      <c r="AE151" s="246"/>
      <c r="AF151" s="246"/>
      <c r="AG151" s="244">
        <v>0</v>
      </c>
      <c r="AH151" s="246"/>
      <c r="AI151" s="246"/>
      <c r="AJ151" s="246"/>
    </row>
    <row r="152" spans="1:36" ht="15">
      <c r="A152" s="236" t="s">
        <v>38</v>
      </c>
      <c r="B152" s="244">
        <v>50</v>
      </c>
      <c r="C152" s="244">
        <v>0</v>
      </c>
      <c r="D152" s="244">
        <v>0</v>
      </c>
      <c r="E152" s="244">
        <v>0</v>
      </c>
      <c r="F152" s="246"/>
      <c r="G152" s="246"/>
      <c r="H152" s="246"/>
      <c r="I152" s="244">
        <v>0</v>
      </c>
      <c r="J152" s="246"/>
      <c r="K152" s="246"/>
      <c r="L152" s="246"/>
      <c r="N152" s="244">
        <v>0</v>
      </c>
      <c r="O152" s="244">
        <v>0</v>
      </c>
      <c r="P152" s="244">
        <v>0</v>
      </c>
      <c r="Q152" s="244">
        <v>0</v>
      </c>
      <c r="R152" s="246"/>
      <c r="S152" s="246"/>
      <c r="T152" s="246"/>
      <c r="U152" s="244">
        <v>0</v>
      </c>
      <c r="V152" s="246"/>
      <c r="W152" s="246"/>
      <c r="X152" s="246"/>
      <c r="Z152" s="244">
        <v>0</v>
      </c>
      <c r="AA152" s="244">
        <v>0</v>
      </c>
      <c r="AB152" s="244">
        <v>0</v>
      </c>
      <c r="AC152" s="244">
        <v>0</v>
      </c>
      <c r="AD152" s="246"/>
      <c r="AE152" s="246"/>
      <c r="AF152" s="246"/>
      <c r="AG152" s="244">
        <v>0</v>
      </c>
      <c r="AH152" s="246"/>
      <c r="AI152" s="246"/>
      <c r="AJ152" s="246"/>
    </row>
    <row r="153" spans="1:36" ht="15">
      <c r="A153" s="236" t="s">
        <v>39</v>
      </c>
      <c r="B153" s="244">
        <v>50</v>
      </c>
      <c r="C153" s="244">
        <v>0</v>
      </c>
      <c r="D153" s="244">
        <v>0</v>
      </c>
      <c r="E153" s="244">
        <v>0</v>
      </c>
      <c r="F153" s="246"/>
      <c r="G153" s="246"/>
      <c r="H153" s="246"/>
      <c r="I153" s="244">
        <v>50</v>
      </c>
      <c r="J153" s="246"/>
      <c r="K153" s="246"/>
      <c r="L153" s="246"/>
      <c r="N153" s="244">
        <v>0</v>
      </c>
      <c r="O153" s="244">
        <v>0</v>
      </c>
      <c r="P153" s="244">
        <v>0</v>
      </c>
      <c r="Q153" s="244">
        <v>0</v>
      </c>
      <c r="R153" s="246"/>
      <c r="S153" s="246"/>
      <c r="T153" s="246"/>
      <c r="U153" s="244">
        <v>0</v>
      </c>
      <c r="V153" s="246"/>
      <c r="W153" s="246"/>
      <c r="X153" s="246"/>
      <c r="Z153" s="244">
        <v>0</v>
      </c>
      <c r="AA153" s="244">
        <v>0</v>
      </c>
      <c r="AB153" s="244">
        <v>0</v>
      </c>
      <c r="AC153" s="244">
        <v>0</v>
      </c>
      <c r="AD153" s="246"/>
      <c r="AE153" s="246"/>
      <c r="AF153" s="246"/>
      <c r="AG153" s="244">
        <v>0</v>
      </c>
      <c r="AH153" s="246"/>
      <c r="AI153" s="246"/>
      <c r="AJ153" s="246"/>
    </row>
    <row r="154" spans="1:36" ht="15">
      <c r="A154" s="236" t="s">
        <v>40</v>
      </c>
      <c r="B154" s="244">
        <v>50</v>
      </c>
      <c r="C154" s="244">
        <v>0</v>
      </c>
      <c r="D154" s="244">
        <v>0</v>
      </c>
      <c r="E154" s="244">
        <v>0</v>
      </c>
      <c r="F154" s="246"/>
      <c r="G154" s="246"/>
      <c r="H154" s="246"/>
      <c r="I154" s="244">
        <v>0</v>
      </c>
      <c r="J154" s="246"/>
      <c r="K154" s="246"/>
      <c r="L154" s="246"/>
      <c r="N154" s="244">
        <v>0</v>
      </c>
      <c r="O154" s="244">
        <v>0</v>
      </c>
      <c r="P154" s="244">
        <v>0</v>
      </c>
      <c r="Q154" s="244">
        <v>0</v>
      </c>
      <c r="R154" s="246"/>
      <c r="S154" s="246"/>
      <c r="T154" s="246"/>
      <c r="U154" s="244">
        <v>0</v>
      </c>
      <c r="V154" s="246"/>
      <c r="W154" s="246"/>
      <c r="X154" s="246"/>
      <c r="Z154" s="244">
        <v>0</v>
      </c>
      <c r="AA154" s="244">
        <v>0</v>
      </c>
      <c r="AB154" s="244">
        <v>0</v>
      </c>
      <c r="AC154" s="244">
        <v>0</v>
      </c>
      <c r="AD154" s="246"/>
      <c r="AE154" s="246"/>
      <c r="AF154" s="246"/>
      <c r="AG154" s="244">
        <v>0</v>
      </c>
      <c r="AH154" s="246"/>
      <c r="AI154" s="246"/>
      <c r="AJ154" s="246"/>
    </row>
    <row r="155" spans="1:36" ht="15">
      <c r="A155" s="240" t="s">
        <v>121</v>
      </c>
      <c r="B155" s="244">
        <v>50</v>
      </c>
      <c r="C155" s="244">
        <v>0</v>
      </c>
      <c r="D155" s="244">
        <v>0</v>
      </c>
      <c r="E155" s="244">
        <v>0</v>
      </c>
      <c r="F155" s="246"/>
      <c r="G155" s="246"/>
      <c r="H155" s="246"/>
      <c r="I155" s="244">
        <v>0</v>
      </c>
      <c r="J155" s="246"/>
      <c r="K155" s="246"/>
      <c r="L155" s="246"/>
      <c r="N155" s="244">
        <v>0</v>
      </c>
      <c r="O155" s="244">
        <v>0</v>
      </c>
      <c r="P155" s="244">
        <v>0</v>
      </c>
      <c r="Q155" s="244">
        <v>0</v>
      </c>
      <c r="R155" s="246"/>
      <c r="S155" s="246"/>
      <c r="T155" s="246"/>
      <c r="U155" s="244">
        <v>0</v>
      </c>
      <c r="V155" s="246"/>
      <c r="W155" s="246"/>
      <c r="X155" s="246"/>
      <c r="Z155" s="244">
        <v>0</v>
      </c>
      <c r="AA155" s="244">
        <v>0</v>
      </c>
      <c r="AB155" s="244">
        <v>0</v>
      </c>
      <c r="AC155" s="244">
        <v>0</v>
      </c>
      <c r="AD155" s="246"/>
      <c r="AE155" s="246"/>
      <c r="AF155" s="246"/>
      <c r="AG155" s="244">
        <v>0</v>
      </c>
      <c r="AH155" s="246"/>
      <c r="AI155" s="246"/>
      <c r="AJ155" s="246"/>
    </row>
    <row r="156" spans="1:36" ht="15">
      <c r="A156" s="236" t="s">
        <v>118</v>
      </c>
      <c r="B156" s="244">
        <v>50</v>
      </c>
      <c r="C156" s="244">
        <v>0</v>
      </c>
      <c r="D156" s="244">
        <v>0</v>
      </c>
      <c r="E156" s="244">
        <v>0</v>
      </c>
      <c r="F156" s="246"/>
      <c r="G156" s="246"/>
      <c r="H156" s="246"/>
      <c r="I156" s="244">
        <v>0</v>
      </c>
      <c r="J156" s="246"/>
      <c r="K156" s="246"/>
      <c r="L156" s="246"/>
      <c r="N156" s="244">
        <v>0</v>
      </c>
      <c r="O156" s="244">
        <v>0</v>
      </c>
      <c r="P156" s="244">
        <v>0</v>
      </c>
      <c r="Q156" s="244">
        <v>0</v>
      </c>
      <c r="R156" s="246"/>
      <c r="S156" s="246"/>
      <c r="T156" s="246"/>
      <c r="U156" s="244">
        <v>0</v>
      </c>
      <c r="V156" s="246"/>
      <c r="W156" s="246"/>
      <c r="X156" s="246"/>
      <c r="Z156" s="244">
        <v>0</v>
      </c>
      <c r="AA156" s="244">
        <v>0</v>
      </c>
      <c r="AB156" s="244">
        <v>0</v>
      </c>
      <c r="AC156" s="244">
        <v>0</v>
      </c>
      <c r="AD156" s="246"/>
      <c r="AE156" s="246"/>
      <c r="AF156" s="246"/>
      <c r="AG156" s="244">
        <v>0</v>
      </c>
      <c r="AH156" s="246"/>
      <c r="AI156" s="246"/>
      <c r="AJ156" s="246"/>
    </row>
    <row r="157" spans="1:36" ht="15">
      <c r="A157" s="239" t="s">
        <v>35</v>
      </c>
      <c r="B157" s="244">
        <v>50</v>
      </c>
      <c r="C157" s="244">
        <v>0</v>
      </c>
      <c r="D157" s="244">
        <v>0</v>
      </c>
      <c r="E157" s="244">
        <v>0</v>
      </c>
      <c r="F157" s="246"/>
      <c r="G157" s="246"/>
      <c r="H157" s="246"/>
      <c r="I157" s="244">
        <v>0</v>
      </c>
      <c r="J157" s="246"/>
      <c r="K157" s="246"/>
      <c r="L157" s="246"/>
      <c r="N157" s="244">
        <v>0</v>
      </c>
      <c r="O157" s="244">
        <v>0</v>
      </c>
      <c r="P157" s="244">
        <v>0</v>
      </c>
      <c r="Q157" s="244">
        <v>0</v>
      </c>
      <c r="R157" s="246"/>
      <c r="S157" s="246"/>
      <c r="T157" s="246"/>
      <c r="U157" s="244">
        <v>0</v>
      </c>
      <c r="V157" s="246"/>
      <c r="W157" s="246"/>
      <c r="X157" s="246"/>
      <c r="Z157" s="244">
        <v>0</v>
      </c>
      <c r="AA157" s="244">
        <v>0</v>
      </c>
      <c r="AB157" s="244">
        <v>0</v>
      </c>
      <c r="AC157" s="244">
        <v>0</v>
      </c>
      <c r="AD157" s="246"/>
      <c r="AE157" s="246"/>
      <c r="AF157" s="246"/>
      <c r="AG157" s="244">
        <v>0</v>
      </c>
      <c r="AH157" s="246"/>
      <c r="AI157" s="246"/>
      <c r="AJ157" s="246"/>
    </row>
    <row r="158" spans="1:36" ht="15">
      <c r="A158" s="238" t="s">
        <v>42</v>
      </c>
      <c r="B158" s="246"/>
      <c r="C158" s="246"/>
      <c r="D158" s="246"/>
      <c r="E158" s="246"/>
      <c r="F158" s="246"/>
      <c r="G158" s="246"/>
      <c r="H158" s="246"/>
      <c r="I158" s="246"/>
      <c r="J158" s="246"/>
      <c r="K158" s="246"/>
      <c r="L158" s="246"/>
      <c r="N158" s="246"/>
      <c r="O158" s="246"/>
      <c r="P158" s="246"/>
      <c r="Q158" s="246"/>
      <c r="R158" s="246"/>
      <c r="S158" s="246"/>
      <c r="T158" s="246"/>
      <c r="U158" s="246"/>
      <c r="V158" s="246"/>
      <c r="W158" s="246"/>
      <c r="X158" s="246"/>
      <c r="Z158" s="246"/>
      <c r="AA158" s="246"/>
      <c r="AB158" s="246"/>
      <c r="AC158" s="246"/>
      <c r="AD158" s="246"/>
      <c r="AE158" s="246"/>
      <c r="AF158" s="246"/>
      <c r="AG158" s="246"/>
      <c r="AH158" s="246"/>
      <c r="AI158" s="246"/>
      <c r="AJ158" s="246"/>
    </row>
    <row r="159" spans="1:36" ht="15">
      <c r="A159" s="236" t="s">
        <v>43</v>
      </c>
      <c r="B159" s="244">
        <v>50</v>
      </c>
      <c r="C159" s="244">
        <v>0</v>
      </c>
      <c r="D159" s="244">
        <v>0</v>
      </c>
      <c r="E159" s="244">
        <v>0</v>
      </c>
      <c r="F159" s="246"/>
      <c r="G159" s="246"/>
      <c r="H159" s="246"/>
      <c r="I159" s="244">
        <v>50</v>
      </c>
      <c r="J159" s="246"/>
      <c r="K159" s="246"/>
      <c r="L159" s="246"/>
      <c r="N159" s="244">
        <v>0</v>
      </c>
      <c r="O159" s="244">
        <v>0</v>
      </c>
      <c r="P159" s="244">
        <v>0</v>
      </c>
      <c r="Q159" s="244">
        <v>0</v>
      </c>
      <c r="R159" s="246"/>
      <c r="S159" s="246"/>
      <c r="T159" s="246"/>
      <c r="U159" s="244">
        <v>0</v>
      </c>
      <c r="V159" s="246"/>
      <c r="W159" s="246"/>
      <c r="X159" s="246"/>
      <c r="Z159" s="244">
        <v>0</v>
      </c>
      <c r="AA159" s="244">
        <v>0</v>
      </c>
      <c r="AB159" s="244">
        <v>0</v>
      </c>
      <c r="AC159" s="244">
        <v>0</v>
      </c>
      <c r="AD159" s="246"/>
      <c r="AE159" s="246"/>
      <c r="AF159" s="246"/>
      <c r="AG159" s="244">
        <v>0</v>
      </c>
      <c r="AH159" s="246"/>
      <c r="AI159" s="246"/>
      <c r="AJ159" s="246"/>
    </row>
    <row r="160" spans="1:36" ht="15">
      <c r="A160" s="236" t="s">
        <v>44</v>
      </c>
      <c r="B160" s="244">
        <v>50</v>
      </c>
      <c r="C160" s="244">
        <v>0</v>
      </c>
      <c r="D160" s="244">
        <v>0</v>
      </c>
      <c r="E160" s="244">
        <v>0</v>
      </c>
      <c r="F160" s="246"/>
      <c r="G160" s="246"/>
      <c r="H160" s="246"/>
      <c r="I160" s="244">
        <v>50</v>
      </c>
      <c r="J160" s="246"/>
      <c r="K160" s="246"/>
      <c r="L160" s="246"/>
      <c r="N160" s="244">
        <v>0</v>
      </c>
      <c r="O160" s="244">
        <v>0</v>
      </c>
      <c r="P160" s="244">
        <v>0</v>
      </c>
      <c r="Q160" s="244">
        <v>0</v>
      </c>
      <c r="R160" s="246"/>
      <c r="S160" s="246"/>
      <c r="T160" s="246"/>
      <c r="U160" s="244">
        <v>0</v>
      </c>
      <c r="V160" s="246"/>
      <c r="W160" s="246"/>
      <c r="X160" s="246"/>
      <c r="Z160" s="244">
        <v>0</v>
      </c>
      <c r="AA160" s="244">
        <v>0</v>
      </c>
      <c r="AB160" s="244">
        <v>0</v>
      </c>
      <c r="AC160" s="244">
        <v>0</v>
      </c>
      <c r="AD160" s="246"/>
      <c r="AE160" s="246"/>
      <c r="AF160" s="246"/>
      <c r="AG160" s="244">
        <v>0</v>
      </c>
      <c r="AH160" s="246"/>
      <c r="AI160" s="246"/>
      <c r="AJ160" s="246"/>
    </row>
    <row r="161" spans="1:36" ht="15">
      <c r="A161" s="236" t="s">
        <v>45</v>
      </c>
      <c r="B161" s="244">
        <v>50</v>
      </c>
      <c r="C161" s="244">
        <v>0</v>
      </c>
      <c r="D161" s="244">
        <v>0</v>
      </c>
      <c r="E161" s="244">
        <v>0</v>
      </c>
      <c r="F161" s="246"/>
      <c r="G161" s="246"/>
      <c r="H161" s="246"/>
      <c r="I161" s="244">
        <v>50</v>
      </c>
      <c r="J161" s="246"/>
      <c r="K161" s="246"/>
      <c r="L161" s="246"/>
      <c r="N161" s="244">
        <v>0</v>
      </c>
      <c r="O161" s="244">
        <v>0</v>
      </c>
      <c r="P161" s="244">
        <v>0</v>
      </c>
      <c r="Q161" s="244">
        <v>0</v>
      </c>
      <c r="R161" s="246"/>
      <c r="S161" s="246"/>
      <c r="T161" s="246"/>
      <c r="U161" s="244">
        <v>0</v>
      </c>
      <c r="V161" s="246"/>
      <c r="W161" s="246"/>
      <c r="X161" s="246"/>
      <c r="Z161" s="244">
        <v>0</v>
      </c>
      <c r="AA161" s="244">
        <v>0</v>
      </c>
      <c r="AB161" s="244">
        <v>0</v>
      </c>
      <c r="AC161" s="244">
        <v>0</v>
      </c>
      <c r="AD161" s="246"/>
      <c r="AE161" s="246"/>
      <c r="AF161" s="246"/>
      <c r="AG161" s="244">
        <v>0</v>
      </c>
      <c r="AH161" s="246"/>
      <c r="AI161" s="246"/>
      <c r="AJ161" s="246"/>
    </row>
    <row r="162" spans="1:36" ht="15">
      <c r="A162" s="236" t="s">
        <v>46</v>
      </c>
      <c r="B162" s="244">
        <v>50</v>
      </c>
      <c r="C162" s="244">
        <v>0</v>
      </c>
      <c r="D162" s="244">
        <v>0</v>
      </c>
      <c r="E162" s="244">
        <v>0</v>
      </c>
      <c r="F162" s="246"/>
      <c r="G162" s="246"/>
      <c r="H162" s="246"/>
      <c r="I162" s="244">
        <v>50</v>
      </c>
      <c r="J162" s="246"/>
      <c r="K162" s="246"/>
      <c r="L162" s="246"/>
      <c r="N162" s="244">
        <v>0</v>
      </c>
      <c r="O162" s="244">
        <v>0</v>
      </c>
      <c r="P162" s="244">
        <v>0</v>
      </c>
      <c r="Q162" s="244">
        <v>0</v>
      </c>
      <c r="R162" s="246"/>
      <c r="S162" s="246"/>
      <c r="T162" s="246"/>
      <c r="U162" s="244">
        <v>0</v>
      </c>
      <c r="V162" s="246"/>
      <c r="W162" s="246"/>
      <c r="X162" s="246"/>
      <c r="Z162" s="244">
        <v>0</v>
      </c>
      <c r="AA162" s="244">
        <v>0</v>
      </c>
      <c r="AB162" s="244">
        <v>0</v>
      </c>
      <c r="AC162" s="244">
        <v>0</v>
      </c>
      <c r="AD162" s="246"/>
      <c r="AE162" s="246"/>
      <c r="AF162" s="246"/>
      <c r="AG162" s="244">
        <v>0</v>
      </c>
      <c r="AH162" s="246"/>
      <c r="AI162" s="246"/>
      <c r="AJ162" s="246"/>
    </row>
    <row r="163" spans="1:36" ht="15">
      <c r="A163" s="239" t="s">
        <v>35</v>
      </c>
      <c r="B163" s="244">
        <v>50</v>
      </c>
      <c r="C163" s="244">
        <v>0</v>
      </c>
      <c r="D163" s="244">
        <v>0</v>
      </c>
      <c r="E163" s="244">
        <v>0</v>
      </c>
      <c r="F163" s="246"/>
      <c r="G163" s="246"/>
      <c r="H163" s="246"/>
      <c r="I163" s="244">
        <v>50</v>
      </c>
      <c r="J163" s="246"/>
      <c r="K163" s="246"/>
      <c r="L163" s="246"/>
      <c r="N163" s="244">
        <v>0</v>
      </c>
      <c r="O163" s="244">
        <v>0</v>
      </c>
      <c r="P163" s="244">
        <v>0</v>
      </c>
      <c r="Q163" s="244">
        <v>0</v>
      </c>
      <c r="R163" s="246"/>
      <c r="S163" s="246"/>
      <c r="T163" s="246"/>
      <c r="U163" s="244">
        <v>0</v>
      </c>
      <c r="V163" s="246"/>
      <c r="W163" s="246"/>
      <c r="X163" s="246"/>
      <c r="Z163" s="244">
        <v>0</v>
      </c>
      <c r="AA163" s="244">
        <v>0</v>
      </c>
      <c r="AB163" s="244">
        <v>0</v>
      </c>
      <c r="AC163" s="244">
        <v>0</v>
      </c>
      <c r="AD163" s="246"/>
      <c r="AE163" s="246"/>
      <c r="AF163" s="246"/>
      <c r="AG163" s="244">
        <v>0</v>
      </c>
      <c r="AH163" s="246"/>
      <c r="AI163" s="246"/>
      <c r="AJ163" s="246"/>
    </row>
    <row r="164" spans="1:36" ht="15">
      <c r="A164" s="238"/>
      <c r="B164" s="246"/>
      <c r="C164" s="246"/>
      <c r="D164" s="246"/>
      <c r="E164" s="246"/>
      <c r="F164" s="246"/>
      <c r="G164" s="246"/>
      <c r="H164" s="246"/>
      <c r="I164" s="246"/>
      <c r="J164" s="246"/>
      <c r="K164" s="246"/>
      <c r="L164" s="246"/>
      <c r="N164" s="246"/>
      <c r="O164" s="246"/>
      <c r="P164" s="246"/>
      <c r="Q164" s="246"/>
      <c r="R164" s="246"/>
      <c r="S164" s="246"/>
      <c r="T164" s="246"/>
      <c r="U164" s="246"/>
      <c r="V164" s="246"/>
      <c r="W164" s="246"/>
      <c r="X164" s="246"/>
      <c r="Z164" s="246"/>
      <c r="AA164" s="246"/>
      <c r="AB164" s="246"/>
      <c r="AC164" s="246"/>
      <c r="AD164" s="246"/>
      <c r="AE164" s="246"/>
      <c r="AF164" s="246"/>
      <c r="AG164" s="246"/>
      <c r="AH164" s="246"/>
      <c r="AI164" s="246"/>
      <c r="AJ164" s="246"/>
    </row>
    <row r="165" spans="1:37" ht="15">
      <c r="A165" s="236"/>
      <c r="B165" s="277"/>
      <c r="C165" s="277"/>
      <c r="D165" s="277"/>
      <c r="E165" s="277"/>
      <c r="F165" s="277"/>
      <c r="G165" s="277"/>
      <c r="H165" s="277"/>
      <c r="I165" s="277"/>
      <c r="J165" s="277"/>
      <c r="K165" s="277"/>
      <c r="L165" s="277"/>
      <c r="M165" s="32"/>
      <c r="N165" s="277"/>
      <c r="O165" s="277"/>
      <c r="P165" s="277"/>
      <c r="Q165" s="277"/>
      <c r="R165" s="277"/>
      <c r="S165" s="277"/>
      <c r="T165" s="277"/>
      <c r="U165" s="277"/>
      <c r="V165" s="277"/>
      <c r="W165" s="277"/>
      <c r="X165" s="277"/>
      <c r="Y165" s="32"/>
      <c r="Z165" s="277"/>
      <c r="AA165" s="277"/>
      <c r="AB165" s="277"/>
      <c r="AC165" s="277"/>
      <c r="AD165" s="277"/>
      <c r="AE165" s="277"/>
      <c r="AF165" s="277"/>
      <c r="AG165" s="277"/>
      <c r="AH165" s="277"/>
      <c r="AI165" s="277"/>
      <c r="AJ165" s="277"/>
      <c r="AK165" s="32"/>
    </row>
    <row r="166" spans="1:37" ht="15">
      <c r="A166" s="241"/>
      <c r="B166" s="277"/>
      <c r="C166" s="277"/>
      <c r="D166" s="277"/>
      <c r="E166" s="277"/>
      <c r="F166" s="277"/>
      <c r="G166" s="277"/>
      <c r="H166" s="277"/>
      <c r="I166" s="277"/>
      <c r="J166" s="277"/>
      <c r="K166" s="277"/>
      <c r="L166" s="277"/>
      <c r="M166" s="32"/>
      <c r="N166" s="277"/>
      <c r="O166" s="277"/>
      <c r="P166" s="277"/>
      <c r="Q166" s="277"/>
      <c r="R166" s="277"/>
      <c r="S166" s="277"/>
      <c r="T166" s="277"/>
      <c r="U166" s="277"/>
      <c r="V166" s="277"/>
      <c r="W166" s="277"/>
      <c r="X166" s="277"/>
      <c r="Y166" s="32"/>
      <c r="Z166" s="277"/>
      <c r="AA166" s="277"/>
      <c r="AB166" s="277"/>
      <c r="AC166" s="277"/>
      <c r="AD166" s="277"/>
      <c r="AE166" s="277"/>
      <c r="AF166" s="277"/>
      <c r="AG166" s="277"/>
      <c r="AH166" s="277"/>
      <c r="AI166" s="277"/>
      <c r="AJ166" s="277"/>
      <c r="AK166" s="32"/>
    </row>
    <row r="167" spans="1:37" ht="15">
      <c r="A167" s="236"/>
      <c r="B167" s="277"/>
      <c r="C167" s="277"/>
      <c r="D167" s="277"/>
      <c r="E167" s="277"/>
      <c r="F167" s="277"/>
      <c r="G167" s="277"/>
      <c r="H167" s="277"/>
      <c r="I167" s="277"/>
      <c r="J167" s="277"/>
      <c r="K167" s="277"/>
      <c r="L167" s="277"/>
      <c r="M167" s="32"/>
      <c r="N167" s="277"/>
      <c r="O167" s="277"/>
      <c r="P167" s="277"/>
      <c r="Q167" s="277"/>
      <c r="R167" s="277"/>
      <c r="S167" s="277"/>
      <c r="T167" s="277"/>
      <c r="U167" s="277"/>
      <c r="V167" s="277"/>
      <c r="W167" s="277"/>
      <c r="X167" s="277"/>
      <c r="Y167" s="32"/>
      <c r="Z167" s="277"/>
      <c r="AA167" s="277"/>
      <c r="AB167" s="277"/>
      <c r="AC167" s="277"/>
      <c r="AD167" s="277"/>
      <c r="AE167" s="277"/>
      <c r="AF167" s="277"/>
      <c r="AG167" s="277"/>
      <c r="AH167" s="277"/>
      <c r="AI167" s="277"/>
      <c r="AJ167" s="277"/>
      <c r="AK167" s="32"/>
    </row>
    <row r="168" spans="1:37" ht="15">
      <c r="A168" s="236"/>
      <c r="B168" s="277"/>
      <c r="C168" s="277"/>
      <c r="D168" s="277"/>
      <c r="E168" s="277"/>
      <c r="F168" s="277"/>
      <c r="G168" s="277"/>
      <c r="H168" s="277"/>
      <c r="I168" s="277"/>
      <c r="J168" s="277"/>
      <c r="K168" s="277"/>
      <c r="L168" s="277"/>
      <c r="M168" s="32"/>
      <c r="N168" s="277"/>
      <c r="O168" s="277"/>
      <c r="P168" s="277"/>
      <c r="Q168" s="277"/>
      <c r="R168" s="277"/>
      <c r="S168" s="277"/>
      <c r="T168" s="277"/>
      <c r="U168" s="277"/>
      <c r="V168" s="277"/>
      <c r="W168" s="277"/>
      <c r="X168" s="277"/>
      <c r="Y168" s="32"/>
      <c r="Z168" s="277"/>
      <c r="AA168" s="277"/>
      <c r="AB168" s="277"/>
      <c r="AC168" s="277"/>
      <c r="AD168" s="277"/>
      <c r="AE168" s="277"/>
      <c r="AF168" s="277"/>
      <c r="AG168" s="277"/>
      <c r="AH168" s="277"/>
      <c r="AI168" s="277"/>
      <c r="AJ168" s="277"/>
      <c r="AK168" s="32"/>
    </row>
    <row r="169" spans="1:37" ht="15.75">
      <c r="A169" s="235"/>
      <c r="B169" s="245"/>
      <c r="C169" s="245"/>
      <c r="D169" s="245"/>
      <c r="E169" s="245"/>
      <c r="F169" s="245"/>
      <c r="G169" s="245"/>
      <c r="H169" s="245"/>
      <c r="I169" s="245"/>
      <c r="J169" s="245"/>
      <c r="K169" s="245"/>
      <c r="L169" s="245"/>
      <c r="M169" s="93"/>
      <c r="N169" s="93"/>
      <c r="O169" s="93"/>
      <c r="P169" s="93"/>
      <c r="Q169" s="93"/>
      <c r="R169" s="93"/>
      <c r="S169" s="93"/>
      <c r="T169" s="93"/>
      <c r="U169" s="93"/>
      <c r="V169" s="93"/>
      <c r="W169" s="93"/>
      <c r="X169" s="93"/>
      <c r="Y169" s="93"/>
      <c r="Z169" s="245"/>
      <c r="AA169" s="245"/>
      <c r="AB169" s="245"/>
      <c r="AC169" s="245"/>
      <c r="AD169" s="245"/>
      <c r="AE169" s="245"/>
      <c r="AF169" s="245"/>
      <c r="AG169" s="245"/>
      <c r="AH169" s="245"/>
      <c r="AI169" s="245"/>
      <c r="AJ169" s="245"/>
      <c r="AK169" s="93"/>
    </row>
    <row r="170" spans="1:37" ht="15.75">
      <c r="A170" s="278"/>
      <c r="B170" s="245"/>
      <c r="C170" s="245"/>
      <c r="D170" s="245"/>
      <c r="E170" s="245"/>
      <c r="F170" s="245"/>
      <c r="G170" s="245"/>
      <c r="H170" s="245"/>
      <c r="I170" s="245"/>
      <c r="J170" s="245"/>
      <c r="K170" s="245"/>
      <c r="L170" s="245"/>
      <c r="M170" s="93"/>
      <c r="N170" s="93"/>
      <c r="O170" s="93"/>
      <c r="P170" s="93"/>
      <c r="Q170" s="93"/>
      <c r="R170" s="93"/>
      <c r="S170" s="93"/>
      <c r="T170" s="93"/>
      <c r="U170" s="93"/>
      <c r="V170" s="93"/>
      <c r="W170" s="93"/>
      <c r="X170" s="93"/>
      <c r="Y170" s="93"/>
      <c r="Z170" s="245"/>
      <c r="AA170" s="245"/>
      <c r="AB170" s="245"/>
      <c r="AC170" s="245"/>
      <c r="AD170" s="245"/>
      <c r="AE170" s="245"/>
      <c r="AF170" s="245"/>
      <c r="AG170" s="245"/>
      <c r="AH170" s="245"/>
      <c r="AI170" s="245"/>
      <c r="AJ170" s="245"/>
      <c r="AK170" s="93"/>
    </row>
    <row r="171" spans="1:37" ht="15">
      <c r="A171" s="92"/>
      <c r="B171" s="245"/>
      <c r="C171" s="245"/>
      <c r="D171" s="245"/>
      <c r="E171" s="245"/>
      <c r="F171" s="245"/>
      <c r="G171" s="245"/>
      <c r="H171" s="245"/>
      <c r="I171" s="245"/>
      <c r="J171" s="245"/>
      <c r="K171" s="245"/>
      <c r="L171" s="245"/>
      <c r="M171" s="93"/>
      <c r="N171" s="93"/>
      <c r="O171" s="93"/>
      <c r="P171" s="93"/>
      <c r="Q171" s="93"/>
      <c r="R171" s="93"/>
      <c r="S171" s="93"/>
      <c r="T171" s="93"/>
      <c r="U171" s="93"/>
      <c r="V171" s="93"/>
      <c r="W171" s="93"/>
      <c r="X171" s="93"/>
      <c r="Y171" s="93"/>
      <c r="Z171" s="245"/>
      <c r="AA171" s="245"/>
      <c r="AB171" s="245"/>
      <c r="AC171" s="245"/>
      <c r="AD171" s="245"/>
      <c r="AE171" s="245"/>
      <c r="AF171" s="245"/>
      <c r="AG171" s="245"/>
      <c r="AH171" s="245"/>
      <c r="AI171" s="245"/>
      <c r="AJ171" s="245"/>
      <c r="AK171" s="93"/>
    </row>
    <row r="172" spans="1:37" ht="15">
      <c r="A172" s="92"/>
      <c r="B172" s="245"/>
      <c r="C172" s="245"/>
      <c r="D172" s="245"/>
      <c r="E172" s="245"/>
      <c r="F172" s="245"/>
      <c r="G172" s="245"/>
      <c r="H172" s="245"/>
      <c r="I172" s="245"/>
      <c r="J172" s="245"/>
      <c r="K172" s="245"/>
      <c r="L172" s="245"/>
      <c r="M172" s="93"/>
      <c r="N172" s="93"/>
      <c r="O172" s="93"/>
      <c r="P172" s="93"/>
      <c r="Q172" s="93"/>
      <c r="R172" s="93"/>
      <c r="S172" s="93"/>
      <c r="T172" s="93"/>
      <c r="U172" s="93"/>
      <c r="V172" s="93"/>
      <c r="W172" s="93"/>
      <c r="X172" s="93"/>
      <c r="Y172" s="93"/>
      <c r="Z172" s="245"/>
      <c r="AA172" s="245"/>
      <c r="AB172" s="245"/>
      <c r="AC172" s="245"/>
      <c r="AD172" s="245"/>
      <c r="AE172" s="245"/>
      <c r="AF172" s="245"/>
      <c r="AG172" s="245"/>
      <c r="AH172" s="245"/>
      <c r="AI172" s="245"/>
      <c r="AJ172" s="245"/>
      <c r="AK172" s="93"/>
    </row>
    <row r="173" spans="1:37" ht="15">
      <c r="A173" s="92"/>
      <c r="B173" s="245"/>
      <c r="C173" s="245"/>
      <c r="D173" s="245"/>
      <c r="E173" s="245"/>
      <c r="F173" s="245"/>
      <c r="G173" s="245"/>
      <c r="H173" s="245"/>
      <c r="I173" s="245"/>
      <c r="J173" s="245"/>
      <c r="K173" s="245"/>
      <c r="L173" s="245"/>
      <c r="M173" s="93"/>
      <c r="N173" s="93"/>
      <c r="O173" s="93"/>
      <c r="P173" s="93"/>
      <c r="Q173" s="93"/>
      <c r="R173" s="93"/>
      <c r="S173" s="93"/>
      <c r="T173" s="93"/>
      <c r="U173" s="93"/>
      <c r="V173" s="93"/>
      <c r="W173" s="93"/>
      <c r="X173" s="93"/>
      <c r="Y173" s="93"/>
      <c r="Z173" s="245"/>
      <c r="AA173" s="245"/>
      <c r="AB173" s="245"/>
      <c r="AC173" s="245"/>
      <c r="AD173" s="245"/>
      <c r="AE173" s="245"/>
      <c r="AF173" s="245"/>
      <c r="AG173" s="245"/>
      <c r="AH173" s="245"/>
      <c r="AI173" s="245"/>
      <c r="AJ173" s="245"/>
      <c r="AK173" s="93"/>
    </row>
    <row r="174" spans="1:37" ht="15">
      <c r="A174" s="92"/>
      <c r="B174" s="245"/>
      <c r="C174" s="245"/>
      <c r="D174" s="245"/>
      <c r="E174" s="245"/>
      <c r="F174" s="245"/>
      <c r="G174" s="245"/>
      <c r="H174" s="245"/>
      <c r="I174" s="245"/>
      <c r="J174" s="245"/>
      <c r="K174" s="245"/>
      <c r="L174" s="245"/>
      <c r="M174" s="93"/>
      <c r="N174" s="93"/>
      <c r="O174" s="93"/>
      <c r="P174" s="93"/>
      <c r="Q174" s="93"/>
      <c r="R174" s="93"/>
      <c r="S174" s="93"/>
      <c r="T174" s="93"/>
      <c r="U174" s="93"/>
      <c r="V174" s="93"/>
      <c r="W174" s="93"/>
      <c r="X174" s="93"/>
      <c r="Y174" s="93"/>
      <c r="Z174" s="245"/>
      <c r="AA174" s="245"/>
      <c r="AB174" s="245"/>
      <c r="AC174" s="245"/>
      <c r="AD174" s="245"/>
      <c r="AE174" s="245"/>
      <c r="AF174" s="245"/>
      <c r="AG174" s="245"/>
      <c r="AH174" s="245"/>
      <c r="AI174" s="245"/>
      <c r="AJ174" s="245"/>
      <c r="AK174" s="93"/>
    </row>
    <row r="175" spans="1:37" ht="15">
      <c r="A175" s="92"/>
      <c r="B175" s="245"/>
      <c r="C175" s="245"/>
      <c r="D175" s="245"/>
      <c r="E175" s="245"/>
      <c r="F175" s="245"/>
      <c r="G175" s="245"/>
      <c r="H175" s="245"/>
      <c r="I175" s="245"/>
      <c r="J175" s="245"/>
      <c r="K175" s="245"/>
      <c r="L175" s="245"/>
      <c r="M175" s="93"/>
      <c r="N175" s="93"/>
      <c r="O175" s="93"/>
      <c r="P175" s="93"/>
      <c r="Q175" s="93"/>
      <c r="R175" s="93"/>
      <c r="S175" s="93"/>
      <c r="T175" s="93"/>
      <c r="U175" s="93"/>
      <c r="V175" s="93"/>
      <c r="W175" s="93"/>
      <c r="X175" s="93"/>
      <c r="Y175" s="93"/>
      <c r="Z175" s="245"/>
      <c r="AA175" s="245"/>
      <c r="AB175" s="245"/>
      <c r="AC175" s="245"/>
      <c r="AD175" s="245"/>
      <c r="AE175" s="245"/>
      <c r="AF175" s="245"/>
      <c r="AG175" s="245"/>
      <c r="AH175" s="245"/>
      <c r="AI175" s="245"/>
      <c r="AJ175" s="245"/>
      <c r="AK175" s="93"/>
    </row>
    <row r="176" spans="1:37" ht="15">
      <c r="A176" s="92"/>
      <c r="B176" s="245"/>
      <c r="C176" s="245"/>
      <c r="D176" s="245"/>
      <c r="E176" s="245"/>
      <c r="F176" s="245"/>
      <c r="G176" s="245"/>
      <c r="H176" s="245"/>
      <c r="I176" s="245"/>
      <c r="J176" s="245"/>
      <c r="K176" s="245"/>
      <c r="L176" s="245"/>
      <c r="M176" s="93"/>
      <c r="N176" s="93"/>
      <c r="O176" s="93"/>
      <c r="P176" s="93"/>
      <c r="Q176" s="93"/>
      <c r="R176" s="93"/>
      <c r="S176" s="93"/>
      <c r="T176" s="93"/>
      <c r="U176" s="93"/>
      <c r="V176" s="93"/>
      <c r="W176" s="93"/>
      <c r="X176" s="93"/>
      <c r="Y176" s="93"/>
      <c r="Z176" s="245"/>
      <c r="AA176" s="245"/>
      <c r="AB176" s="245"/>
      <c r="AC176" s="245"/>
      <c r="AD176" s="245"/>
      <c r="AE176" s="245"/>
      <c r="AF176" s="245"/>
      <c r="AG176" s="245"/>
      <c r="AH176" s="245"/>
      <c r="AI176" s="245"/>
      <c r="AJ176" s="245"/>
      <c r="AK176" s="93"/>
    </row>
    <row r="177" spans="1:37" ht="15">
      <c r="A177" s="92"/>
      <c r="B177" s="245"/>
      <c r="C177" s="245"/>
      <c r="D177" s="245"/>
      <c r="E177" s="245"/>
      <c r="F177" s="245"/>
      <c r="G177" s="245"/>
      <c r="H177" s="245"/>
      <c r="I177" s="245"/>
      <c r="J177" s="245"/>
      <c r="K177" s="245"/>
      <c r="L177" s="245"/>
      <c r="M177" s="93"/>
      <c r="N177" s="93"/>
      <c r="O177" s="93"/>
      <c r="P177" s="93"/>
      <c r="Q177" s="93"/>
      <c r="R177" s="93"/>
      <c r="S177" s="93"/>
      <c r="T177" s="93"/>
      <c r="U177" s="93"/>
      <c r="V177" s="93"/>
      <c r="W177" s="93"/>
      <c r="X177" s="93"/>
      <c r="Y177" s="93"/>
      <c r="Z177" s="245"/>
      <c r="AA177" s="245"/>
      <c r="AB177" s="245"/>
      <c r="AC177" s="245"/>
      <c r="AD177" s="245"/>
      <c r="AE177" s="245"/>
      <c r="AF177" s="245"/>
      <c r="AG177" s="245"/>
      <c r="AH177" s="245"/>
      <c r="AI177" s="245"/>
      <c r="AJ177" s="245"/>
      <c r="AK177" s="93"/>
    </row>
    <row r="178" spans="1:37" ht="15">
      <c r="A178" s="92"/>
      <c r="B178" s="245"/>
      <c r="C178" s="245"/>
      <c r="D178" s="245"/>
      <c r="E178" s="245"/>
      <c r="F178" s="245"/>
      <c r="G178" s="245"/>
      <c r="H178" s="245"/>
      <c r="I178" s="245"/>
      <c r="J178" s="245"/>
      <c r="K178" s="245"/>
      <c r="L178" s="245"/>
      <c r="M178" s="93"/>
      <c r="N178" s="93"/>
      <c r="O178" s="93"/>
      <c r="P178" s="93"/>
      <c r="Q178" s="93"/>
      <c r="R178" s="93"/>
      <c r="S178" s="93"/>
      <c r="T178" s="93"/>
      <c r="U178" s="93"/>
      <c r="V178" s="93"/>
      <c r="W178" s="93"/>
      <c r="X178" s="93"/>
      <c r="Y178" s="93"/>
      <c r="Z178" s="245"/>
      <c r="AA178" s="245"/>
      <c r="AB178" s="245"/>
      <c r="AC178" s="245"/>
      <c r="AD178" s="245"/>
      <c r="AE178" s="245"/>
      <c r="AF178" s="245"/>
      <c r="AG178" s="245"/>
      <c r="AH178" s="245"/>
      <c r="AI178" s="245"/>
      <c r="AJ178" s="245"/>
      <c r="AK178" s="93"/>
    </row>
    <row r="179" spans="1:37" ht="15">
      <c r="A179" s="92"/>
      <c r="B179" s="245"/>
      <c r="C179" s="245"/>
      <c r="D179" s="245"/>
      <c r="E179" s="245"/>
      <c r="F179" s="245"/>
      <c r="G179" s="245"/>
      <c r="H179" s="245"/>
      <c r="I179" s="245"/>
      <c r="J179" s="245"/>
      <c r="K179" s="245"/>
      <c r="L179" s="245"/>
      <c r="M179" s="93"/>
      <c r="N179" s="93"/>
      <c r="O179" s="93"/>
      <c r="P179" s="93"/>
      <c r="Q179" s="93"/>
      <c r="R179" s="93"/>
      <c r="S179" s="93"/>
      <c r="T179" s="93"/>
      <c r="U179" s="93"/>
      <c r="V179" s="93"/>
      <c r="W179" s="93"/>
      <c r="X179" s="93"/>
      <c r="Y179" s="93"/>
      <c r="Z179" s="245"/>
      <c r="AA179" s="245"/>
      <c r="AB179" s="245"/>
      <c r="AC179" s="245"/>
      <c r="AD179" s="245"/>
      <c r="AE179" s="245"/>
      <c r="AF179" s="245"/>
      <c r="AG179" s="245"/>
      <c r="AH179" s="245"/>
      <c r="AI179" s="245"/>
      <c r="AJ179" s="245"/>
      <c r="AK179" s="93"/>
    </row>
    <row r="180" spans="1:37" ht="15">
      <c r="A180" s="92"/>
      <c r="B180" s="245"/>
      <c r="C180" s="245"/>
      <c r="D180" s="245"/>
      <c r="E180" s="245"/>
      <c r="F180" s="245"/>
      <c r="G180" s="245"/>
      <c r="H180" s="245"/>
      <c r="I180" s="245"/>
      <c r="J180" s="245"/>
      <c r="K180" s="245"/>
      <c r="L180" s="245"/>
      <c r="M180" s="93"/>
      <c r="N180" s="93"/>
      <c r="O180" s="93"/>
      <c r="P180" s="93"/>
      <c r="Q180" s="93"/>
      <c r="R180" s="93"/>
      <c r="S180" s="93"/>
      <c r="T180" s="93"/>
      <c r="U180" s="93"/>
      <c r="V180" s="93"/>
      <c r="W180" s="93"/>
      <c r="X180" s="93"/>
      <c r="Y180" s="93"/>
      <c r="Z180" s="245"/>
      <c r="AA180" s="245"/>
      <c r="AB180" s="245"/>
      <c r="AC180" s="245"/>
      <c r="AD180" s="245"/>
      <c r="AE180" s="245"/>
      <c r="AF180" s="245"/>
      <c r="AG180" s="245"/>
      <c r="AH180" s="245"/>
      <c r="AI180" s="245"/>
      <c r="AJ180" s="245"/>
      <c r="AK180" s="93"/>
    </row>
    <row r="181" spans="1:37" ht="15">
      <c r="A181" s="92"/>
      <c r="B181" s="245"/>
      <c r="C181" s="245"/>
      <c r="D181" s="245"/>
      <c r="E181" s="245"/>
      <c r="F181" s="245"/>
      <c r="G181" s="245"/>
      <c r="H181" s="245"/>
      <c r="I181" s="245"/>
      <c r="J181" s="245"/>
      <c r="K181" s="245"/>
      <c r="L181" s="245"/>
      <c r="M181" s="93"/>
      <c r="N181" s="93"/>
      <c r="O181" s="93"/>
      <c r="P181" s="93"/>
      <c r="Q181" s="93"/>
      <c r="R181" s="93"/>
      <c r="S181" s="93"/>
      <c r="T181" s="93"/>
      <c r="U181" s="93"/>
      <c r="V181" s="93"/>
      <c r="W181" s="93"/>
      <c r="X181" s="93"/>
      <c r="Y181" s="93"/>
      <c r="Z181" s="245"/>
      <c r="AA181" s="245"/>
      <c r="AB181" s="245"/>
      <c r="AC181" s="245"/>
      <c r="AD181" s="245"/>
      <c r="AE181" s="245"/>
      <c r="AF181" s="245"/>
      <c r="AG181" s="245"/>
      <c r="AH181" s="245"/>
      <c r="AI181" s="245"/>
      <c r="AJ181" s="245"/>
      <c r="AK181" s="93"/>
    </row>
    <row r="182" spans="1:37" ht="15">
      <c r="A182" s="92"/>
      <c r="B182" s="245"/>
      <c r="C182" s="245"/>
      <c r="D182" s="245"/>
      <c r="E182" s="245"/>
      <c r="F182" s="245"/>
      <c r="G182" s="245"/>
      <c r="H182" s="245"/>
      <c r="I182" s="245"/>
      <c r="J182" s="245"/>
      <c r="K182" s="245"/>
      <c r="L182" s="245"/>
      <c r="M182" s="93"/>
      <c r="N182" s="93"/>
      <c r="O182" s="93"/>
      <c r="P182" s="93"/>
      <c r="Q182" s="93"/>
      <c r="R182" s="93"/>
      <c r="S182" s="93"/>
      <c r="T182" s="93"/>
      <c r="U182" s="93"/>
      <c r="V182" s="93"/>
      <c r="W182" s="93"/>
      <c r="X182" s="93"/>
      <c r="Y182" s="93"/>
      <c r="Z182" s="245"/>
      <c r="AA182" s="245"/>
      <c r="AB182" s="245"/>
      <c r="AC182" s="245"/>
      <c r="AD182" s="245"/>
      <c r="AE182" s="245"/>
      <c r="AF182" s="245"/>
      <c r="AG182" s="245"/>
      <c r="AH182" s="245"/>
      <c r="AI182" s="245"/>
      <c r="AJ182" s="245"/>
      <c r="AK182" s="93"/>
    </row>
    <row r="183" spans="1:37" ht="15">
      <c r="A183" s="92"/>
      <c r="B183" s="245"/>
      <c r="C183" s="245"/>
      <c r="D183" s="245"/>
      <c r="E183" s="245"/>
      <c r="F183" s="245"/>
      <c r="G183" s="245"/>
      <c r="H183" s="245"/>
      <c r="I183" s="245"/>
      <c r="J183" s="245"/>
      <c r="K183" s="245"/>
      <c r="L183" s="245"/>
      <c r="M183" s="93"/>
      <c r="N183" s="93"/>
      <c r="O183" s="93"/>
      <c r="P183" s="93"/>
      <c r="Q183" s="93"/>
      <c r="R183" s="93"/>
      <c r="S183" s="93"/>
      <c r="T183" s="93"/>
      <c r="U183" s="93"/>
      <c r="V183" s="93"/>
      <c r="W183" s="93"/>
      <c r="X183" s="93"/>
      <c r="Y183" s="93"/>
      <c r="Z183" s="245"/>
      <c r="AA183" s="245"/>
      <c r="AB183" s="245"/>
      <c r="AC183" s="245"/>
      <c r="AD183" s="245"/>
      <c r="AE183" s="245"/>
      <c r="AF183" s="245"/>
      <c r="AG183" s="245"/>
      <c r="AH183" s="245"/>
      <c r="AI183" s="245"/>
      <c r="AJ183" s="245"/>
      <c r="AK183" s="93"/>
    </row>
    <row r="184" spans="1:37" ht="15.75">
      <c r="A184" s="278"/>
      <c r="B184" s="245"/>
      <c r="C184" s="245"/>
      <c r="D184" s="245"/>
      <c r="E184" s="245"/>
      <c r="F184" s="245"/>
      <c r="G184" s="245"/>
      <c r="H184" s="245"/>
      <c r="I184" s="245"/>
      <c r="J184" s="245"/>
      <c r="K184" s="245"/>
      <c r="L184" s="245"/>
      <c r="M184" s="93"/>
      <c r="N184" s="93"/>
      <c r="O184" s="93"/>
      <c r="P184" s="93"/>
      <c r="Q184" s="93"/>
      <c r="R184" s="93"/>
      <c r="S184" s="93"/>
      <c r="T184" s="93"/>
      <c r="U184" s="93"/>
      <c r="V184" s="93"/>
      <c r="W184" s="93"/>
      <c r="X184" s="93"/>
      <c r="Y184" s="93"/>
      <c r="Z184" s="245"/>
      <c r="AA184" s="245"/>
      <c r="AB184" s="245"/>
      <c r="AC184" s="245"/>
      <c r="AD184" s="245"/>
      <c r="AE184" s="245"/>
      <c r="AF184" s="245"/>
      <c r="AG184" s="245"/>
      <c r="AH184" s="245"/>
      <c r="AI184" s="245"/>
      <c r="AJ184" s="245"/>
      <c r="AK184" s="93"/>
    </row>
    <row r="185" spans="1:37" ht="15">
      <c r="A185" s="16"/>
      <c r="B185" s="245"/>
      <c r="C185" s="245"/>
      <c r="D185" s="245"/>
      <c r="E185" s="245"/>
      <c r="F185" s="245"/>
      <c r="G185" s="245"/>
      <c r="H185" s="245"/>
      <c r="I185" s="245"/>
      <c r="J185" s="245"/>
      <c r="K185" s="245"/>
      <c r="L185" s="245"/>
      <c r="M185" s="93"/>
      <c r="N185" s="93"/>
      <c r="O185" s="93"/>
      <c r="P185" s="93"/>
      <c r="Q185" s="93"/>
      <c r="R185" s="93"/>
      <c r="S185" s="93"/>
      <c r="T185" s="93"/>
      <c r="U185" s="93"/>
      <c r="V185" s="93"/>
      <c r="W185" s="93"/>
      <c r="X185" s="93"/>
      <c r="Y185" s="93"/>
      <c r="Z185" s="245"/>
      <c r="AA185" s="245"/>
      <c r="AB185" s="245"/>
      <c r="AC185" s="245"/>
      <c r="AD185" s="245"/>
      <c r="AE185" s="245"/>
      <c r="AF185" s="245"/>
      <c r="AG185" s="245"/>
      <c r="AH185" s="245"/>
      <c r="AI185" s="245"/>
      <c r="AJ185" s="245"/>
      <c r="AK185" s="93"/>
    </row>
    <row r="186" spans="1:37" ht="15">
      <c r="A186" s="92"/>
      <c r="B186" s="245"/>
      <c r="C186" s="245"/>
      <c r="D186" s="245"/>
      <c r="E186" s="245"/>
      <c r="F186" s="245"/>
      <c r="G186" s="245"/>
      <c r="H186" s="245"/>
      <c r="I186" s="245"/>
      <c r="J186" s="245"/>
      <c r="K186" s="245"/>
      <c r="L186" s="245"/>
      <c r="M186" s="93"/>
      <c r="N186" s="93"/>
      <c r="O186" s="93"/>
      <c r="P186" s="93"/>
      <c r="Q186" s="93"/>
      <c r="R186" s="93"/>
      <c r="S186" s="93"/>
      <c r="T186" s="93"/>
      <c r="U186" s="93"/>
      <c r="V186" s="93"/>
      <c r="W186" s="93"/>
      <c r="X186" s="93"/>
      <c r="Y186" s="93"/>
      <c r="Z186" s="245"/>
      <c r="AA186" s="245"/>
      <c r="AB186" s="245"/>
      <c r="AC186" s="245"/>
      <c r="AD186" s="245"/>
      <c r="AE186" s="245"/>
      <c r="AF186" s="245"/>
      <c r="AG186" s="245"/>
      <c r="AH186" s="245"/>
      <c r="AI186" s="245"/>
      <c r="AJ186" s="245"/>
      <c r="AK186" s="93"/>
    </row>
    <row r="187" spans="1:37" ht="15">
      <c r="A187" s="92"/>
      <c r="B187" s="245"/>
      <c r="C187" s="245"/>
      <c r="D187" s="245"/>
      <c r="E187" s="245"/>
      <c r="F187" s="245"/>
      <c r="G187" s="245"/>
      <c r="H187" s="245"/>
      <c r="I187" s="245"/>
      <c r="J187" s="245"/>
      <c r="K187" s="245"/>
      <c r="L187" s="245"/>
      <c r="M187" s="93"/>
      <c r="N187" s="93"/>
      <c r="O187" s="93"/>
      <c r="P187" s="93"/>
      <c r="Q187" s="93"/>
      <c r="R187" s="93"/>
      <c r="S187" s="93"/>
      <c r="T187" s="93"/>
      <c r="U187" s="93"/>
      <c r="V187" s="93"/>
      <c r="W187" s="93"/>
      <c r="X187" s="93"/>
      <c r="Y187" s="93"/>
      <c r="Z187" s="245"/>
      <c r="AA187" s="245"/>
      <c r="AB187" s="245"/>
      <c r="AC187" s="245"/>
      <c r="AD187" s="245"/>
      <c r="AE187" s="245"/>
      <c r="AF187" s="245"/>
      <c r="AG187" s="245"/>
      <c r="AH187" s="245"/>
      <c r="AI187" s="245"/>
      <c r="AJ187" s="245"/>
      <c r="AK187" s="93"/>
    </row>
    <row r="188" spans="1:37" ht="15">
      <c r="A188" s="92"/>
      <c r="B188" s="245"/>
      <c r="C188" s="245"/>
      <c r="D188" s="245"/>
      <c r="E188" s="245"/>
      <c r="F188" s="245"/>
      <c r="G188" s="245"/>
      <c r="H188" s="245"/>
      <c r="I188" s="245"/>
      <c r="J188" s="245"/>
      <c r="K188" s="245"/>
      <c r="L188" s="245"/>
      <c r="M188" s="93"/>
      <c r="N188" s="93"/>
      <c r="O188" s="93"/>
      <c r="P188" s="93"/>
      <c r="Q188" s="93"/>
      <c r="R188" s="93"/>
      <c r="S188" s="93"/>
      <c r="T188" s="93"/>
      <c r="U188" s="93"/>
      <c r="V188" s="93"/>
      <c r="W188" s="93"/>
      <c r="X188" s="93"/>
      <c r="Y188" s="93"/>
      <c r="Z188" s="245"/>
      <c r="AA188" s="245"/>
      <c r="AB188" s="245"/>
      <c r="AC188" s="245"/>
      <c r="AD188" s="245"/>
      <c r="AE188" s="245"/>
      <c r="AF188" s="245"/>
      <c r="AG188" s="245"/>
      <c r="AH188" s="245"/>
      <c r="AI188" s="245"/>
      <c r="AJ188" s="245"/>
      <c r="AK188" s="93"/>
    </row>
    <row r="189" spans="1:37" ht="15">
      <c r="A189" s="92"/>
      <c r="B189" s="245"/>
      <c r="C189" s="245"/>
      <c r="D189" s="245"/>
      <c r="E189" s="245"/>
      <c r="F189" s="245"/>
      <c r="G189" s="245"/>
      <c r="H189" s="245"/>
      <c r="I189" s="245"/>
      <c r="J189" s="245"/>
      <c r="K189" s="245"/>
      <c r="L189" s="245"/>
      <c r="M189" s="93"/>
      <c r="N189" s="93"/>
      <c r="O189" s="93"/>
      <c r="P189" s="93"/>
      <c r="Q189" s="93"/>
      <c r="R189" s="93"/>
      <c r="S189" s="93"/>
      <c r="T189" s="93"/>
      <c r="U189" s="93"/>
      <c r="V189" s="93"/>
      <c r="W189" s="93"/>
      <c r="X189" s="93"/>
      <c r="Y189" s="93"/>
      <c r="Z189" s="245"/>
      <c r="AA189" s="245"/>
      <c r="AB189" s="245"/>
      <c r="AC189" s="245"/>
      <c r="AD189" s="245"/>
      <c r="AE189" s="245"/>
      <c r="AF189" s="245"/>
      <c r="AG189" s="245"/>
      <c r="AH189" s="245"/>
      <c r="AI189" s="245"/>
      <c r="AJ189" s="245"/>
      <c r="AK189" s="93"/>
    </row>
    <row r="190" spans="1:37" ht="15">
      <c r="A190" s="92"/>
      <c r="B190" s="245"/>
      <c r="C190" s="245"/>
      <c r="D190" s="245"/>
      <c r="E190" s="245"/>
      <c r="F190" s="245"/>
      <c r="G190" s="245"/>
      <c r="H190" s="245"/>
      <c r="I190" s="245"/>
      <c r="J190" s="245"/>
      <c r="K190" s="245"/>
      <c r="L190" s="245"/>
      <c r="M190" s="93"/>
      <c r="N190" s="93"/>
      <c r="O190" s="93"/>
      <c r="P190" s="93"/>
      <c r="Q190" s="93"/>
      <c r="R190" s="93"/>
      <c r="S190" s="93"/>
      <c r="T190" s="93"/>
      <c r="U190" s="93"/>
      <c r="V190" s="93"/>
      <c r="W190" s="93"/>
      <c r="X190" s="93"/>
      <c r="Y190" s="93"/>
      <c r="Z190" s="245"/>
      <c r="AA190" s="245"/>
      <c r="AB190" s="245"/>
      <c r="AC190" s="245"/>
      <c r="AD190" s="245"/>
      <c r="AE190" s="245"/>
      <c r="AF190" s="245"/>
      <c r="AG190" s="245"/>
      <c r="AH190" s="245"/>
      <c r="AI190" s="245"/>
      <c r="AJ190" s="245"/>
      <c r="AK190" s="93"/>
    </row>
    <row r="191" spans="1:37" ht="15">
      <c r="A191" s="92"/>
      <c r="B191" s="245"/>
      <c r="C191" s="245"/>
      <c r="D191" s="245"/>
      <c r="E191" s="245"/>
      <c r="F191" s="245"/>
      <c r="G191" s="245"/>
      <c r="H191" s="245"/>
      <c r="I191" s="245"/>
      <c r="J191" s="245"/>
      <c r="K191" s="245"/>
      <c r="L191" s="245"/>
      <c r="M191" s="93"/>
      <c r="N191" s="93"/>
      <c r="O191" s="93"/>
      <c r="P191" s="93"/>
      <c r="Q191" s="93"/>
      <c r="R191" s="93"/>
      <c r="S191" s="93"/>
      <c r="T191" s="93"/>
      <c r="U191" s="93"/>
      <c r="V191" s="93"/>
      <c r="W191" s="93"/>
      <c r="X191" s="93"/>
      <c r="Y191" s="93"/>
      <c r="Z191" s="245"/>
      <c r="AA191" s="245"/>
      <c r="AB191" s="245"/>
      <c r="AC191" s="245"/>
      <c r="AD191" s="245"/>
      <c r="AE191" s="245"/>
      <c r="AF191" s="245"/>
      <c r="AG191" s="245"/>
      <c r="AH191" s="245"/>
      <c r="AI191" s="245"/>
      <c r="AJ191" s="245"/>
      <c r="AK191" s="93"/>
    </row>
    <row r="192" spans="1:37" ht="15">
      <c r="A192" s="92"/>
      <c r="B192" s="245"/>
      <c r="C192" s="245"/>
      <c r="D192" s="245"/>
      <c r="E192" s="245"/>
      <c r="F192" s="245"/>
      <c r="G192" s="245"/>
      <c r="H192" s="245"/>
      <c r="I192" s="245"/>
      <c r="J192" s="245"/>
      <c r="K192" s="245"/>
      <c r="L192" s="245"/>
      <c r="M192" s="93"/>
      <c r="N192" s="93"/>
      <c r="O192" s="93"/>
      <c r="P192" s="93"/>
      <c r="Q192" s="93"/>
      <c r="R192" s="93"/>
      <c r="S192" s="93"/>
      <c r="T192" s="93"/>
      <c r="U192" s="93"/>
      <c r="V192" s="93"/>
      <c r="W192" s="93"/>
      <c r="X192" s="93"/>
      <c r="Y192" s="93"/>
      <c r="Z192" s="245"/>
      <c r="AA192" s="245"/>
      <c r="AB192" s="245"/>
      <c r="AC192" s="245"/>
      <c r="AD192" s="245"/>
      <c r="AE192" s="245"/>
      <c r="AF192" s="245"/>
      <c r="AG192" s="245"/>
      <c r="AH192" s="245"/>
      <c r="AI192" s="245"/>
      <c r="AJ192" s="245"/>
      <c r="AK192" s="93"/>
    </row>
    <row r="193" spans="1:37" ht="15">
      <c r="A193" s="92"/>
      <c r="B193" s="245"/>
      <c r="C193" s="245"/>
      <c r="D193" s="245"/>
      <c r="E193" s="245"/>
      <c r="F193" s="245"/>
      <c r="G193" s="245"/>
      <c r="H193" s="245"/>
      <c r="I193" s="245"/>
      <c r="J193" s="245"/>
      <c r="K193" s="245"/>
      <c r="L193" s="245"/>
      <c r="M193" s="93"/>
      <c r="N193" s="93"/>
      <c r="O193" s="93"/>
      <c r="P193" s="93"/>
      <c r="Q193" s="93"/>
      <c r="R193" s="93"/>
      <c r="S193" s="93"/>
      <c r="T193" s="93"/>
      <c r="U193" s="93"/>
      <c r="V193" s="93"/>
      <c r="W193" s="93"/>
      <c r="X193" s="93"/>
      <c r="Y193" s="93"/>
      <c r="Z193" s="245"/>
      <c r="AA193" s="245"/>
      <c r="AB193" s="245"/>
      <c r="AC193" s="245"/>
      <c r="AD193" s="245"/>
      <c r="AE193" s="245"/>
      <c r="AF193" s="245"/>
      <c r="AG193" s="245"/>
      <c r="AH193" s="245"/>
      <c r="AI193" s="245"/>
      <c r="AJ193" s="245"/>
      <c r="AK193" s="93"/>
    </row>
    <row r="194" spans="1:37" ht="15">
      <c r="A194" s="92"/>
      <c r="B194" s="245"/>
      <c r="C194" s="245"/>
      <c r="D194" s="245"/>
      <c r="E194" s="245"/>
      <c r="F194" s="245"/>
      <c r="G194" s="245"/>
      <c r="H194" s="245"/>
      <c r="I194" s="245"/>
      <c r="J194" s="245"/>
      <c r="K194" s="245"/>
      <c r="L194" s="245"/>
      <c r="M194" s="93"/>
      <c r="N194" s="93"/>
      <c r="O194" s="93"/>
      <c r="P194" s="93"/>
      <c r="Q194" s="93"/>
      <c r="R194" s="93"/>
      <c r="S194" s="93"/>
      <c r="T194" s="93"/>
      <c r="U194" s="93"/>
      <c r="V194" s="93"/>
      <c r="W194" s="93"/>
      <c r="X194" s="93"/>
      <c r="Y194" s="93"/>
      <c r="Z194" s="245"/>
      <c r="AA194" s="245"/>
      <c r="AB194" s="245"/>
      <c r="AC194" s="245"/>
      <c r="AD194" s="245"/>
      <c r="AE194" s="245"/>
      <c r="AF194" s="245"/>
      <c r="AG194" s="245"/>
      <c r="AH194" s="245"/>
      <c r="AI194" s="245"/>
      <c r="AJ194" s="245"/>
      <c r="AK194" s="93"/>
    </row>
    <row r="195" spans="1:37" ht="15">
      <c r="A195" s="92"/>
      <c r="B195" s="245"/>
      <c r="C195" s="245"/>
      <c r="D195" s="245"/>
      <c r="E195" s="245"/>
      <c r="F195" s="245"/>
      <c r="G195" s="245"/>
      <c r="H195" s="245"/>
      <c r="I195" s="245"/>
      <c r="J195" s="245"/>
      <c r="K195" s="245"/>
      <c r="L195" s="245"/>
      <c r="M195" s="93"/>
      <c r="N195" s="93"/>
      <c r="O195" s="93"/>
      <c r="P195" s="93"/>
      <c r="Q195" s="93"/>
      <c r="R195" s="93"/>
      <c r="S195" s="93"/>
      <c r="T195" s="93"/>
      <c r="U195" s="93"/>
      <c r="V195" s="93"/>
      <c r="W195" s="93"/>
      <c r="X195" s="93"/>
      <c r="Y195" s="93"/>
      <c r="Z195" s="245"/>
      <c r="AA195" s="245"/>
      <c r="AB195" s="245"/>
      <c r="AC195" s="245"/>
      <c r="AD195" s="245"/>
      <c r="AE195" s="245"/>
      <c r="AF195" s="245"/>
      <c r="AG195" s="245"/>
      <c r="AH195" s="245"/>
      <c r="AI195" s="245"/>
      <c r="AJ195" s="245"/>
      <c r="AK195" s="93"/>
    </row>
    <row r="196" spans="1:37" ht="15">
      <c r="A196" s="92"/>
      <c r="B196" s="245"/>
      <c r="C196" s="245"/>
      <c r="D196" s="245"/>
      <c r="E196" s="245"/>
      <c r="F196" s="245"/>
      <c r="G196" s="245"/>
      <c r="H196" s="245"/>
      <c r="I196" s="245"/>
      <c r="J196" s="245"/>
      <c r="K196" s="245"/>
      <c r="L196" s="245"/>
      <c r="M196" s="93"/>
      <c r="N196" s="93"/>
      <c r="O196" s="93"/>
      <c r="P196" s="93"/>
      <c r="Q196" s="93"/>
      <c r="R196" s="93"/>
      <c r="S196" s="93"/>
      <c r="T196" s="93"/>
      <c r="U196" s="93"/>
      <c r="V196" s="93"/>
      <c r="W196" s="93"/>
      <c r="X196" s="93"/>
      <c r="Y196" s="93"/>
      <c r="Z196" s="245"/>
      <c r="AA196" s="245"/>
      <c r="AB196" s="245"/>
      <c r="AC196" s="245"/>
      <c r="AD196" s="245"/>
      <c r="AE196" s="245"/>
      <c r="AF196" s="245"/>
      <c r="AG196" s="245"/>
      <c r="AH196" s="245"/>
      <c r="AI196" s="245"/>
      <c r="AJ196" s="245"/>
      <c r="AK196" s="93"/>
    </row>
    <row r="197" spans="1:37" ht="15">
      <c r="A197" s="92"/>
      <c r="B197" s="245"/>
      <c r="C197" s="245"/>
      <c r="D197" s="245"/>
      <c r="E197" s="245"/>
      <c r="F197" s="245"/>
      <c r="G197" s="245"/>
      <c r="H197" s="245"/>
      <c r="I197" s="245"/>
      <c r="J197" s="245"/>
      <c r="K197" s="245"/>
      <c r="L197" s="245"/>
      <c r="M197" s="93"/>
      <c r="N197" s="93"/>
      <c r="O197" s="93"/>
      <c r="P197" s="93"/>
      <c r="Q197" s="93"/>
      <c r="R197" s="93"/>
      <c r="S197" s="93"/>
      <c r="T197" s="93"/>
      <c r="U197" s="93"/>
      <c r="V197" s="93"/>
      <c r="W197" s="93"/>
      <c r="X197" s="93"/>
      <c r="Y197" s="93"/>
      <c r="Z197" s="245"/>
      <c r="AA197" s="245"/>
      <c r="AB197" s="245"/>
      <c r="AC197" s="245"/>
      <c r="AD197" s="245"/>
      <c r="AE197" s="245"/>
      <c r="AF197" s="245"/>
      <c r="AG197" s="245"/>
      <c r="AH197" s="245"/>
      <c r="AI197" s="245"/>
      <c r="AJ197" s="245"/>
      <c r="AK197" s="93"/>
    </row>
    <row r="198" spans="1:37" ht="15">
      <c r="A198" s="92"/>
      <c r="B198" s="245"/>
      <c r="C198" s="245"/>
      <c r="D198" s="245"/>
      <c r="E198" s="245"/>
      <c r="F198" s="245"/>
      <c r="G198" s="245"/>
      <c r="H198" s="245"/>
      <c r="I198" s="245"/>
      <c r="J198" s="245"/>
      <c r="K198" s="245"/>
      <c r="L198" s="245"/>
      <c r="M198" s="93"/>
      <c r="N198" s="93"/>
      <c r="O198" s="93"/>
      <c r="P198" s="93"/>
      <c r="Q198" s="93"/>
      <c r="R198" s="93"/>
      <c r="S198" s="93"/>
      <c r="T198" s="93"/>
      <c r="U198" s="93"/>
      <c r="V198" s="93"/>
      <c r="W198" s="93"/>
      <c r="X198" s="93"/>
      <c r="Y198" s="93"/>
      <c r="Z198" s="245"/>
      <c r="AA198" s="245"/>
      <c r="AB198" s="245"/>
      <c r="AC198" s="245"/>
      <c r="AD198" s="245"/>
      <c r="AE198" s="245"/>
      <c r="AF198" s="245"/>
      <c r="AG198" s="245"/>
      <c r="AH198" s="245"/>
      <c r="AI198" s="245"/>
      <c r="AJ198" s="245"/>
      <c r="AK198" s="93"/>
    </row>
    <row r="199" spans="1:37" ht="15">
      <c r="A199" s="16"/>
      <c r="B199" s="245"/>
      <c r="C199" s="245"/>
      <c r="D199" s="245"/>
      <c r="E199" s="245"/>
      <c r="F199" s="245"/>
      <c r="G199" s="245"/>
      <c r="H199" s="245"/>
      <c r="I199" s="245"/>
      <c r="J199" s="245"/>
      <c r="K199" s="245"/>
      <c r="L199" s="245"/>
      <c r="M199" s="93"/>
      <c r="N199" s="93"/>
      <c r="O199" s="93"/>
      <c r="P199" s="93"/>
      <c r="Q199" s="93"/>
      <c r="R199" s="93"/>
      <c r="S199" s="93"/>
      <c r="T199" s="93"/>
      <c r="U199" s="93"/>
      <c r="V199" s="93"/>
      <c r="W199" s="93"/>
      <c r="X199" s="93"/>
      <c r="Y199" s="93"/>
      <c r="Z199" s="245"/>
      <c r="AA199" s="245"/>
      <c r="AB199" s="245"/>
      <c r="AC199" s="245"/>
      <c r="AD199" s="245"/>
      <c r="AE199" s="245"/>
      <c r="AF199" s="245"/>
      <c r="AG199" s="245"/>
      <c r="AH199" s="245"/>
      <c r="AI199" s="245"/>
      <c r="AJ199" s="245"/>
      <c r="AK199" s="93"/>
    </row>
    <row r="200" spans="1:37" ht="15">
      <c r="A200" s="279"/>
      <c r="B200" s="245"/>
      <c r="C200" s="245"/>
      <c r="D200" s="245"/>
      <c r="E200" s="245"/>
      <c r="F200" s="245"/>
      <c r="G200" s="245"/>
      <c r="H200" s="245"/>
      <c r="I200" s="245"/>
      <c r="J200" s="245"/>
      <c r="K200" s="245"/>
      <c r="L200" s="245"/>
      <c r="M200" s="93"/>
      <c r="N200" s="93"/>
      <c r="O200" s="93"/>
      <c r="P200" s="93"/>
      <c r="Q200" s="93"/>
      <c r="R200" s="93"/>
      <c r="S200" s="93"/>
      <c r="T200" s="93"/>
      <c r="U200" s="93"/>
      <c r="V200" s="93"/>
      <c r="W200" s="93"/>
      <c r="X200" s="93"/>
      <c r="Y200" s="93"/>
      <c r="Z200" s="245"/>
      <c r="AA200" s="245"/>
      <c r="AB200" s="245"/>
      <c r="AC200" s="245"/>
      <c r="AD200" s="245"/>
      <c r="AE200" s="245"/>
      <c r="AF200" s="245"/>
      <c r="AG200" s="245"/>
      <c r="AH200" s="245"/>
      <c r="AI200" s="245"/>
      <c r="AJ200" s="245"/>
      <c r="AK200" s="93"/>
    </row>
    <row r="201" spans="1:37" ht="15">
      <c r="A201" s="92"/>
      <c r="B201" s="245"/>
      <c r="C201" s="245"/>
      <c r="D201" s="245"/>
      <c r="E201" s="245"/>
      <c r="F201" s="245"/>
      <c r="G201" s="245"/>
      <c r="H201" s="245"/>
      <c r="I201" s="245"/>
      <c r="J201" s="245"/>
      <c r="K201" s="245"/>
      <c r="L201" s="245"/>
      <c r="M201" s="93"/>
      <c r="N201" s="93"/>
      <c r="O201" s="93"/>
      <c r="P201" s="93"/>
      <c r="Q201" s="93"/>
      <c r="R201" s="93"/>
      <c r="S201" s="93"/>
      <c r="T201" s="93"/>
      <c r="U201" s="93"/>
      <c r="V201" s="93"/>
      <c r="W201" s="93"/>
      <c r="X201" s="93"/>
      <c r="Y201" s="93"/>
      <c r="Z201" s="245"/>
      <c r="AA201" s="245"/>
      <c r="AB201" s="245"/>
      <c r="AC201" s="245"/>
      <c r="AD201" s="245"/>
      <c r="AE201" s="245"/>
      <c r="AF201" s="245"/>
      <c r="AG201" s="245"/>
      <c r="AH201" s="245"/>
      <c r="AI201" s="245"/>
      <c r="AJ201" s="245"/>
      <c r="AK201" s="93"/>
    </row>
    <row r="202" spans="1:37" ht="15">
      <c r="A202" s="92"/>
      <c r="B202" s="245"/>
      <c r="C202" s="245"/>
      <c r="D202" s="245"/>
      <c r="E202" s="245"/>
      <c r="F202" s="245"/>
      <c r="G202" s="245"/>
      <c r="H202" s="245"/>
      <c r="I202" s="245"/>
      <c r="J202" s="245"/>
      <c r="K202" s="245"/>
      <c r="L202" s="245"/>
      <c r="M202" s="93"/>
      <c r="N202" s="93"/>
      <c r="O202" s="93"/>
      <c r="P202" s="93"/>
      <c r="Q202" s="93"/>
      <c r="R202" s="93"/>
      <c r="S202" s="93"/>
      <c r="T202" s="93"/>
      <c r="U202" s="93"/>
      <c r="V202" s="93"/>
      <c r="W202" s="93"/>
      <c r="X202" s="93"/>
      <c r="Y202" s="93"/>
      <c r="Z202" s="245"/>
      <c r="AA202" s="245"/>
      <c r="AB202" s="245"/>
      <c r="AC202" s="245"/>
      <c r="AD202" s="245"/>
      <c r="AE202" s="245"/>
      <c r="AF202" s="245"/>
      <c r="AG202" s="245"/>
      <c r="AH202" s="245"/>
      <c r="AI202" s="245"/>
      <c r="AJ202" s="245"/>
      <c r="AK202" s="93"/>
    </row>
    <row r="203" spans="1:37" ht="15">
      <c r="A203" s="92"/>
      <c r="B203" s="245"/>
      <c r="C203" s="245"/>
      <c r="D203" s="245"/>
      <c r="E203" s="245"/>
      <c r="F203" s="245"/>
      <c r="G203" s="245"/>
      <c r="H203" s="245"/>
      <c r="I203" s="245"/>
      <c r="J203" s="245"/>
      <c r="K203" s="245"/>
      <c r="L203" s="245"/>
      <c r="M203" s="93"/>
      <c r="N203" s="93"/>
      <c r="O203" s="93"/>
      <c r="P203" s="93"/>
      <c r="Q203" s="93"/>
      <c r="R203" s="93"/>
      <c r="S203" s="93"/>
      <c r="T203" s="93"/>
      <c r="U203" s="93"/>
      <c r="V203" s="93"/>
      <c r="W203" s="93"/>
      <c r="X203" s="93"/>
      <c r="Y203" s="93"/>
      <c r="Z203" s="245"/>
      <c r="AA203" s="245"/>
      <c r="AB203" s="245"/>
      <c r="AC203" s="245"/>
      <c r="AD203" s="245"/>
      <c r="AE203" s="245"/>
      <c r="AF203" s="245"/>
      <c r="AG203" s="245"/>
      <c r="AH203" s="245"/>
      <c r="AI203" s="245"/>
      <c r="AJ203" s="245"/>
      <c r="AK203" s="93"/>
    </row>
    <row r="204" spans="1:37" ht="15">
      <c r="A204" s="92"/>
      <c r="B204" s="245"/>
      <c r="C204" s="245"/>
      <c r="D204" s="245"/>
      <c r="E204" s="245"/>
      <c r="F204" s="245"/>
      <c r="G204" s="245"/>
      <c r="H204" s="245"/>
      <c r="I204" s="245"/>
      <c r="J204" s="245"/>
      <c r="K204" s="245"/>
      <c r="L204" s="245"/>
      <c r="M204" s="93"/>
      <c r="N204" s="93"/>
      <c r="O204" s="93"/>
      <c r="P204" s="93"/>
      <c r="Q204" s="93"/>
      <c r="R204" s="93"/>
      <c r="S204" s="93"/>
      <c r="T204" s="93"/>
      <c r="U204" s="93"/>
      <c r="V204" s="93"/>
      <c r="W204" s="93"/>
      <c r="X204" s="93"/>
      <c r="Y204" s="93"/>
      <c r="Z204" s="245"/>
      <c r="AA204" s="245"/>
      <c r="AB204" s="245"/>
      <c r="AC204" s="245"/>
      <c r="AD204" s="245"/>
      <c r="AE204" s="245"/>
      <c r="AF204" s="245"/>
      <c r="AG204" s="245"/>
      <c r="AH204" s="245"/>
      <c r="AI204" s="245"/>
      <c r="AJ204" s="245"/>
      <c r="AK204" s="93"/>
    </row>
    <row r="205" spans="1:37" ht="15">
      <c r="A205" s="279"/>
      <c r="B205" s="245"/>
      <c r="C205" s="245"/>
      <c r="D205" s="245"/>
      <c r="E205" s="245"/>
      <c r="F205" s="245"/>
      <c r="G205" s="245"/>
      <c r="H205" s="245"/>
      <c r="I205" s="245"/>
      <c r="J205" s="245"/>
      <c r="K205" s="245"/>
      <c r="L205" s="245"/>
      <c r="M205" s="93"/>
      <c r="N205" s="93"/>
      <c r="O205" s="93"/>
      <c r="P205" s="93"/>
      <c r="Q205" s="93"/>
      <c r="R205" s="93"/>
      <c r="S205" s="93"/>
      <c r="T205" s="93"/>
      <c r="U205" s="93"/>
      <c r="V205" s="93"/>
      <c r="W205" s="93"/>
      <c r="X205" s="93"/>
      <c r="Y205" s="93"/>
      <c r="Z205" s="245"/>
      <c r="AA205" s="245"/>
      <c r="AB205" s="245"/>
      <c r="AC205" s="245"/>
      <c r="AD205" s="245"/>
      <c r="AE205" s="245"/>
      <c r="AF205" s="245"/>
      <c r="AG205" s="245"/>
      <c r="AH205" s="245"/>
      <c r="AI205" s="245"/>
      <c r="AJ205" s="245"/>
      <c r="AK205" s="93"/>
    </row>
    <row r="206" spans="1:37" ht="15">
      <c r="A206" s="92"/>
      <c r="B206" s="245"/>
      <c r="C206" s="245"/>
      <c r="D206" s="245"/>
      <c r="E206" s="245"/>
      <c r="F206" s="245"/>
      <c r="G206" s="245"/>
      <c r="H206" s="245"/>
      <c r="I206" s="245"/>
      <c r="J206" s="245"/>
      <c r="K206" s="245"/>
      <c r="L206" s="245"/>
      <c r="M206" s="93"/>
      <c r="N206" s="93"/>
      <c r="O206" s="93"/>
      <c r="P206" s="93"/>
      <c r="Q206" s="93"/>
      <c r="R206" s="93"/>
      <c r="S206" s="93"/>
      <c r="T206" s="93"/>
      <c r="U206" s="93"/>
      <c r="V206" s="93"/>
      <c r="W206" s="93"/>
      <c r="X206" s="93"/>
      <c r="Y206" s="93"/>
      <c r="Z206" s="245"/>
      <c r="AA206" s="245"/>
      <c r="AB206" s="245"/>
      <c r="AC206" s="245"/>
      <c r="AD206" s="245"/>
      <c r="AE206" s="245"/>
      <c r="AF206" s="245"/>
      <c r="AG206" s="245"/>
      <c r="AH206" s="245"/>
      <c r="AI206" s="245"/>
      <c r="AJ206" s="245"/>
      <c r="AK206" s="93"/>
    </row>
    <row r="207" spans="1:37" ht="15">
      <c r="A207" s="92"/>
      <c r="B207" s="245"/>
      <c r="C207" s="245"/>
      <c r="D207" s="245"/>
      <c r="E207" s="245"/>
      <c r="F207" s="245"/>
      <c r="G207" s="245"/>
      <c r="H207" s="245"/>
      <c r="I207" s="245"/>
      <c r="J207" s="245"/>
      <c r="K207" s="245"/>
      <c r="L207" s="245"/>
      <c r="M207" s="93"/>
      <c r="N207" s="93"/>
      <c r="O207" s="93"/>
      <c r="P207" s="93"/>
      <c r="Q207" s="93"/>
      <c r="R207" s="93"/>
      <c r="S207" s="93"/>
      <c r="T207" s="93"/>
      <c r="U207" s="93"/>
      <c r="V207" s="93"/>
      <c r="W207" s="93"/>
      <c r="X207" s="93"/>
      <c r="Y207" s="93"/>
      <c r="Z207" s="245"/>
      <c r="AA207" s="245"/>
      <c r="AB207" s="245"/>
      <c r="AC207" s="245"/>
      <c r="AD207" s="245"/>
      <c r="AE207" s="245"/>
      <c r="AF207" s="245"/>
      <c r="AG207" s="245"/>
      <c r="AH207" s="245"/>
      <c r="AI207" s="245"/>
      <c r="AJ207" s="245"/>
      <c r="AK207" s="93"/>
    </row>
    <row r="208" spans="1:37" ht="15">
      <c r="A208" s="16"/>
      <c r="B208" s="245"/>
      <c r="C208" s="245"/>
      <c r="D208" s="245"/>
      <c r="E208" s="245"/>
      <c r="F208" s="245"/>
      <c r="G208" s="245"/>
      <c r="H208" s="245"/>
      <c r="I208" s="245"/>
      <c r="J208" s="245"/>
      <c r="K208" s="245"/>
      <c r="L208" s="245"/>
      <c r="M208" s="93"/>
      <c r="N208" s="93"/>
      <c r="O208" s="93"/>
      <c r="P208" s="93"/>
      <c r="Q208" s="93"/>
      <c r="R208" s="93"/>
      <c r="S208" s="93"/>
      <c r="T208" s="93"/>
      <c r="U208" s="93"/>
      <c r="V208" s="93"/>
      <c r="W208" s="93"/>
      <c r="X208" s="93"/>
      <c r="Y208" s="93"/>
      <c r="Z208" s="245"/>
      <c r="AA208" s="245"/>
      <c r="AB208" s="245"/>
      <c r="AC208" s="245"/>
      <c r="AD208" s="245"/>
      <c r="AE208" s="245"/>
      <c r="AF208" s="245"/>
      <c r="AG208" s="245"/>
      <c r="AH208" s="245"/>
      <c r="AI208" s="245"/>
      <c r="AJ208" s="245"/>
      <c r="AK208" s="93"/>
    </row>
    <row r="209" spans="1:37" ht="15">
      <c r="A209" s="92"/>
      <c r="B209" s="245"/>
      <c r="C209" s="245"/>
      <c r="D209" s="245"/>
      <c r="E209" s="245"/>
      <c r="F209" s="245"/>
      <c r="G209" s="245"/>
      <c r="H209" s="245"/>
      <c r="I209" s="245"/>
      <c r="J209" s="245"/>
      <c r="K209" s="245"/>
      <c r="L209" s="245"/>
      <c r="M209" s="93"/>
      <c r="N209" s="93"/>
      <c r="O209" s="93"/>
      <c r="P209" s="93"/>
      <c r="Q209" s="93"/>
      <c r="R209" s="93"/>
      <c r="S209" s="93"/>
      <c r="T209" s="93"/>
      <c r="U209" s="93"/>
      <c r="V209" s="93"/>
      <c r="W209" s="93"/>
      <c r="X209" s="93"/>
      <c r="Y209" s="93"/>
      <c r="Z209" s="245"/>
      <c r="AA209" s="245"/>
      <c r="AB209" s="245"/>
      <c r="AC209" s="245"/>
      <c r="AD209" s="245"/>
      <c r="AE209" s="245"/>
      <c r="AF209" s="245"/>
      <c r="AG209" s="245"/>
      <c r="AH209" s="245"/>
      <c r="AI209" s="245"/>
      <c r="AJ209" s="245"/>
      <c r="AK209" s="93"/>
    </row>
    <row r="210" spans="1:37" ht="15">
      <c r="A210" s="92"/>
      <c r="B210" s="245"/>
      <c r="C210" s="245"/>
      <c r="D210" s="245"/>
      <c r="E210" s="245"/>
      <c r="F210" s="245"/>
      <c r="G210" s="245"/>
      <c r="H210" s="245"/>
      <c r="I210" s="245"/>
      <c r="J210" s="245"/>
      <c r="K210" s="245"/>
      <c r="L210" s="245"/>
      <c r="M210" s="93"/>
      <c r="N210" s="93"/>
      <c r="O210" s="93"/>
      <c r="P210" s="93"/>
      <c r="Q210" s="93"/>
      <c r="R210" s="93"/>
      <c r="S210" s="93"/>
      <c r="T210" s="93"/>
      <c r="U210" s="93"/>
      <c r="V210" s="93"/>
      <c r="W210" s="93"/>
      <c r="X210" s="93"/>
      <c r="Y210" s="93"/>
      <c r="Z210" s="245"/>
      <c r="AA210" s="245"/>
      <c r="AB210" s="245"/>
      <c r="AC210" s="245"/>
      <c r="AD210" s="245"/>
      <c r="AE210" s="245"/>
      <c r="AF210" s="245"/>
      <c r="AG210" s="245"/>
      <c r="AH210" s="245"/>
      <c r="AI210" s="245"/>
      <c r="AJ210" s="245"/>
      <c r="AK210" s="93"/>
    </row>
    <row r="211" spans="1:37" ht="15">
      <c r="A211" s="92"/>
      <c r="B211" s="245"/>
      <c r="C211" s="245"/>
      <c r="D211" s="245"/>
      <c r="E211" s="245"/>
      <c r="F211" s="245"/>
      <c r="G211" s="245"/>
      <c r="H211" s="245"/>
      <c r="I211" s="245"/>
      <c r="J211" s="245"/>
      <c r="K211" s="245"/>
      <c r="L211" s="245"/>
      <c r="M211" s="93"/>
      <c r="N211" s="93"/>
      <c r="O211" s="93"/>
      <c r="P211" s="93"/>
      <c r="Q211" s="93"/>
      <c r="R211" s="93"/>
      <c r="S211" s="93"/>
      <c r="T211" s="93"/>
      <c r="U211" s="93"/>
      <c r="V211" s="93"/>
      <c r="W211" s="93"/>
      <c r="X211" s="93"/>
      <c r="Y211" s="93"/>
      <c r="Z211" s="245"/>
      <c r="AA211" s="245"/>
      <c r="AB211" s="245"/>
      <c r="AC211" s="245"/>
      <c r="AD211" s="245"/>
      <c r="AE211" s="245"/>
      <c r="AF211" s="245"/>
      <c r="AG211" s="245"/>
      <c r="AH211" s="245"/>
      <c r="AI211" s="245"/>
      <c r="AJ211" s="245"/>
      <c r="AK211" s="93"/>
    </row>
    <row r="212" spans="1:37" ht="15">
      <c r="A212" s="92"/>
      <c r="B212" s="245"/>
      <c r="C212" s="245"/>
      <c r="D212" s="245"/>
      <c r="E212" s="245"/>
      <c r="F212" s="245"/>
      <c r="G212" s="245"/>
      <c r="H212" s="245"/>
      <c r="I212" s="245"/>
      <c r="J212" s="245"/>
      <c r="K212" s="245"/>
      <c r="L212" s="245"/>
      <c r="M212" s="93"/>
      <c r="N212" s="93"/>
      <c r="O212" s="93"/>
      <c r="P212" s="93"/>
      <c r="Q212" s="93"/>
      <c r="R212" s="93"/>
      <c r="S212" s="93"/>
      <c r="T212" s="93"/>
      <c r="U212" s="93"/>
      <c r="V212" s="93"/>
      <c r="W212" s="93"/>
      <c r="X212" s="93"/>
      <c r="Y212" s="93"/>
      <c r="Z212" s="245"/>
      <c r="AA212" s="245"/>
      <c r="AB212" s="245"/>
      <c r="AC212" s="245"/>
      <c r="AD212" s="245"/>
      <c r="AE212" s="245"/>
      <c r="AF212" s="245"/>
      <c r="AG212" s="245"/>
      <c r="AH212" s="245"/>
      <c r="AI212" s="245"/>
      <c r="AJ212" s="245"/>
      <c r="AK212" s="93"/>
    </row>
    <row r="213" spans="1:37" ht="15">
      <c r="A213" s="92"/>
      <c r="B213" s="245"/>
      <c r="C213" s="245"/>
      <c r="D213" s="245"/>
      <c r="E213" s="245"/>
      <c r="F213" s="245"/>
      <c r="G213" s="245"/>
      <c r="H213" s="245"/>
      <c r="I213" s="245"/>
      <c r="J213" s="245"/>
      <c r="K213" s="245"/>
      <c r="L213" s="245"/>
      <c r="M213" s="93"/>
      <c r="N213" s="93"/>
      <c r="O213" s="93"/>
      <c r="P213" s="93"/>
      <c r="Q213" s="93"/>
      <c r="R213" s="93"/>
      <c r="S213" s="93"/>
      <c r="T213" s="93"/>
      <c r="U213" s="93"/>
      <c r="V213" s="93"/>
      <c r="W213" s="93"/>
      <c r="X213" s="93"/>
      <c r="Y213" s="93"/>
      <c r="Z213" s="245"/>
      <c r="AA213" s="245"/>
      <c r="AB213" s="245"/>
      <c r="AC213" s="245"/>
      <c r="AD213" s="245"/>
      <c r="AE213" s="245"/>
      <c r="AF213" s="245"/>
      <c r="AG213" s="245"/>
      <c r="AH213" s="245"/>
      <c r="AI213" s="245"/>
      <c r="AJ213" s="245"/>
      <c r="AK213" s="93"/>
    </row>
    <row r="214" spans="1:37" ht="15">
      <c r="A214" s="16"/>
      <c r="B214" s="245"/>
      <c r="C214" s="245"/>
      <c r="D214" s="245"/>
      <c r="E214" s="245"/>
      <c r="F214" s="245"/>
      <c r="G214" s="245"/>
      <c r="H214" s="245"/>
      <c r="I214" s="245"/>
      <c r="J214" s="245"/>
      <c r="K214" s="245"/>
      <c r="L214" s="245"/>
      <c r="M214" s="93"/>
      <c r="N214" s="93"/>
      <c r="O214" s="93"/>
      <c r="P214" s="93"/>
      <c r="Q214" s="93"/>
      <c r="R214" s="93"/>
      <c r="S214" s="93"/>
      <c r="T214" s="93"/>
      <c r="U214" s="93"/>
      <c r="V214" s="93"/>
      <c r="W214" s="93"/>
      <c r="X214" s="93"/>
      <c r="Y214" s="93"/>
      <c r="Z214" s="245"/>
      <c r="AA214" s="245"/>
      <c r="AB214" s="245"/>
      <c r="AC214" s="245"/>
      <c r="AD214" s="245"/>
      <c r="AE214" s="245"/>
      <c r="AF214" s="245"/>
      <c r="AG214" s="245"/>
      <c r="AH214" s="245"/>
      <c r="AI214" s="245"/>
      <c r="AJ214" s="245"/>
      <c r="AK214" s="93"/>
    </row>
    <row r="215" spans="1:37" ht="15">
      <c r="A215" s="92"/>
      <c r="B215" s="245"/>
      <c r="C215" s="245"/>
      <c r="D215" s="245"/>
      <c r="E215" s="245"/>
      <c r="F215" s="245"/>
      <c r="G215" s="245"/>
      <c r="H215" s="245"/>
      <c r="I215" s="245"/>
      <c r="J215" s="245"/>
      <c r="K215" s="245"/>
      <c r="L215" s="245"/>
      <c r="M215" s="93"/>
      <c r="N215" s="93"/>
      <c r="O215" s="93"/>
      <c r="P215" s="93"/>
      <c r="Q215" s="93"/>
      <c r="R215" s="93"/>
      <c r="S215" s="93"/>
      <c r="T215" s="93"/>
      <c r="U215" s="93"/>
      <c r="V215" s="93"/>
      <c r="W215" s="93"/>
      <c r="X215" s="93"/>
      <c r="Y215" s="93"/>
      <c r="Z215" s="245"/>
      <c r="AA215" s="245"/>
      <c r="AB215" s="245"/>
      <c r="AC215" s="245"/>
      <c r="AD215" s="245"/>
      <c r="AE215" s="245"/>
      <c r="AF215" s="245"/>
      <c r="AG215" s="245"/>
      <c r="AH215" s="245"/>
      <c r="AI215" s="245"/>
      <c r="AJ215" s="245"/>
      <c r="AK215" s="93"/>
    </row>
    <row r="216" spans="1:37" ht="15">
      <c r="A216" s="280"/>
      <c r="B216" s="245"/>
      <c r="C216" s="245"/>
      <c r="D216" s="245"/>
      <c r="E216" s="245"/>
      <c r="F216" s="245"/>
      <c r="G216" s="245"/>
      <c r="H216" s="245"/>
      <c r="I216" s="245"/>
      <c r="J216" s="245"/>
      <c r="K216" s="245"/>
      <c r="L216" s="245"/>
      <c r="M216" s="93"/>
      <c r="N216" s="93"/>
      <c r="O216" s="93"/>
      <c r="P216" s="93"/>
      <c r="Q216" s="93"/>
      <c r="R216" s="93"/>
      <c r="S216" s="93"/>
      <c r="T216" s="93"/>
      <c r="U216" s="93"/>
      <c r="V216" s="93"/>
      <c r="W216" s="93"/>
      <c r="X216" s="93"/>
      <c r="Y216" s="93"/>
      <c r="Z216" s="245"/>
      <c r="AA216" s="245"/>
      <c r="AB216" s="245"/>
      <c r="AC216" s="245"/>
      <c r="AD216" s="245"/>
      <c r="AE216" s="245"/>
      <c r="AF216" s="245"/>
      <c r="AG216" s="245"/>
      <c r="AH216" s="245"/>
      <c r="AI216" s="245"/>
      <c r="AJ216" s="245"/>
      <c r="AK216" s="93"/>
    </row>
    <row r="217" spans="1:37" ht="15">
      <c r="A217" s="92"/>
      <c r="B217" s="245"/>
      <c r="C217" s="245"/>
      <c r="D217" s="245"/>
      <c r="E217" s="245"/>
      <c r="F217" s="245"/>
      <c r="G217" s="245"/>
      <c r="H217" s="245"/>
      <c r="I217" s="245"/>
      <c r="J217" s="245"/>
      <c r="K217" s="245"/>
      <c r="L217" s="245"/>
      <c r="M217" s="93"/>
      <c r="N217" s="93"/>
      <c r="O217" s="93"/>
      <c r="P217" s="93"/>
      <c r="Q217" s="93"/>
      <c r="R217" s="93"/>
      <c r="S217" s="93"/>
      <c r="T217" s="93"/>
      <c r="U217" s="93"/>
      <c r="V217" s="93"/>
      <c r="W217" s="93"/>
      <c r="X217" s="93"/>
      <c r="Y217" s="93"/>
      <c r="Z217" s="245"/>
      <c r="AA217" s="245"/>
      <c r="AB217" s="245"/>
      <c r="AC217" s="245"/>
      <c r="AD217" s="245"/>
      <c r="AE217" s="245"/>
      <c r="AF217" s="245"/>
      <c r="AG217" s="245"/>
      <c r="AH217" s="245"/>
      <c r="AI217" s="245"/>
      <c r="AJ217" s="245"/>
      <c r="AK217" s="93"/>
    </row>
    <row r="218" spans="1:37" ht="15">
      <c r="A218" s="92"/>
      <c r="B218" s="245"/>
      <c r="C218" s="245"/>
      <c r="D218" s="245"/>
      <c r="E218" s="245"/>
      <c r="F218" s="245"/>
      <c r="G218" s="245"/>
      <c r="H218" s="245"/>
      <c r="I218" s="245"/>
      <c r="J218" s="245"/>
      <c r="K218" s="245"/>
      <c r="L218" s="245"/>
      <c r="M218" s="93"/>
      <c r="N218" s="93"/>
      <c r="O218" s="93"/>
      <c r="P218" s="93"/>
      <c r="Q218" s="93"/>
      <c r="R218" s="93"/>
      <c r="S218" s="93"/>
      <c r="T218" s="93"/>
      <c r="U218" s="93"/>
      <c r="V218" s="93"/>
      <c r="W218" s="93"/>
      <c r="X218" s="93"/>
      <c r="Y218" s="93"/>
      <c r="Z218" s="245"/>
      <c r="AA218" s="245"/>
      <c r="AB218" s="245"/>
      <c r="AC218" s="245"/>
      <c r="AD218" s="245"/>
      <c r="AE218" s="245"/>
      <c r="AF218" s="245"/>
      <c r="AG218" s="245"/>
      <c r="AH218" s="245"/>
      <c r="AI218" s="245"/>
      <c r="AJ218" s="245"/>
      <c r="AK218" s="93"/>
    </row>
    <row r="219" spans="1:37" ht="15">
      <c r="A219" s="93"/>
      <c r="B219" s="245"/>
      <c r="C219" s="245"/>
      <c r="D219" s="245"/>
      <c r="E219" s="245"/>
      <c r="F219" s="245"/>
      <c r="G219" s="245"/>
      <c r="H219" s="245"/>
      <c r="I219" s="245"/>
      <c r="J219" s="245"/>
      <c r="K219" s="245"/>
      <c r="L219" s="245"/>
      <c r="M219" s="93"/>
      <c r="N219" s="93"/>
      <c r="O219" s="93"/>
      <c r="P219" s="93"/>
      <c r="Q219" s="93"/>
      <c r="R219" s="93"/>
      <c r="S219" s="93"/>
      <c r="T219" s="93"/>
      <c r="U219" s="93"/>
      <c r="V219" s="93"/>
      <c r="W219" s="93"/>
      <c r="X219" s="93"/>
      <c r="Y219" s="93"/>
      <c r="Z219" s="245"/>
      <c r="AA219" s="245"/>
      <c r="AB219" s="245"/>
      <c r="AC219" s="245"/>
      <c r="AD219" s="245"/>
      <c r="AE219" s="245"/>
      <c r="AF219" s="245"/>
      <c r="AG219" s="245"/>
      <c r="AH219" s="245"/>
      <c r="AI219" s="245"/>
      <c r="AJ219" s="245"/>
      <c r="AK219" s="93"/>
    </row>
    <row r="220" spans="1:37" ht="15.75">
      <c r="A220" s="278"/>
      <c r="B220" s="245"/>
      <c r="C220" s="245"/>
      <c r="D220" s="245"/>
      <c r="E220" s="245"/>
      <c r="F220" s="245"/>
      <c r="G220" s="245"/>
      <c r="H220" s="245"/>
      <c r="I220" s="245"/>
      <c r="J220" s="245"/>
      <c r="K220" s="245"/>
      <c r="L220" s="245"/>
      <c r="M220" s="93"/>
      <c r="N220" s="93"/>
      <c r="O220" s="93"/>
      <c r="P220" s="93"/>
      <c r="Q220" s="93"/>
      <c r="R220" s="93"/>
      <c r="S220" s="93"/>
      <c r="T220" s="93"/>
      <c r="U220" s="93"/>
      <c r="V220" s="93"/>
      <c r="W220" s="93"/>
      <c r="X220" s="93"/>
      <c r="Y220" s="93"/>
      <c r="Z220" s="245"/>
      <c r="AA220" s="245"/>
      <c r="AB220" s="245"/>
      <c r="AC220" s="245"/>
      <c r="AD220" s="245"/>
      <c r="AE220" s="245"/>
      <c r="AF220" s="245"/>
      <c r="AG220" s="245"/>
      <c r="AH220" s="245"/>
      <c r="AI220" s="245"/>
      <c r="AJ220" s="245"/>
      <c r="AK220" s="93"/>
    </row>
    <row r="221" spans="1:37" ht="15">
      <c r="A221" s="92"/>
      <c r="B221" s="245"/>
      <c r="C221" s="245"/>
      <c r="D221" s="245"/>
      <c r="E221" s="245"/>
      <c r="F221" s="245"/>
      <c r="G221" s="245"/>
      <c r="H221" s="245"/>
      <c r="I221" s="245"/>
      <c r="J221" s="245"/>
      <c r="K221" s="245"/>
      <c r="L221" s="245"/>
      <c r="M221" s="93"/>
      <c r="N221" s="93"/>
      <c r="O221" s="93"/>
      <c r="P221" s="93"/>
      <c r="Q221" s="93"/>
      <c r="R221" s="93"/>
      <c r="S221" s="93"/>
      <c r="T221" s="93"/>
      <c r="U221" s="93"/>
      <c r="V221" s="93"/>
      <c r="W221" s="93"/>
      <c r="X221" s="93"/>
      <c r="Y221" s="93"/>
      <c r="Z221" s="245"/>
      <c r="AA221" s="245"/>
      <c r="AB221" s="245"/>
      <c r="AC221" s="245"/>
      <c r="AD221" s="245"/>
      <c r="AE221" s="245"/>
      <c r="AF221" s="245"/>
      <c r="AG221" s="245"/>
      <c r="AH221" s="245"/>
      <c r="AI221" s="245"/>
      <c r="AJ221" s="245"/>
      <c r="AK221" s="93"/>
    </row>
    <row r="222" spans="1:37" ht="15">
      <c r="A222" s="92"/>
      <c r="B222" s="245"/>
      <c r="C222" s="245"/>
      <c r="D222" s="245"/>
      <c r="E222" s="245"/>
      <c r="F222" s="245"/>
      <c r="G222" s="245"/>
      <c r="H222" s="245"/>
      <c r="I222" s="245"/>
      <c r="J222" s="245"/>
      <c r="K222" s="245"/>
      <c r="L222" s="245"/>
      <c r="M222" s="93"/>
      <c r="N222" s="93"/>
      <c r="O222" s="93"/>
      <c r="P222" s="93"/>
      <c r="Q222" s="93"/>
      <c r="R222" s="93"/>
      <c r="S222" s="93"/>
      <c r="T222" s="93"/>
      <c r="U222" s="93"/>
      <c r="V222" s="93"/>
      <c r="W222" s="93"/>
      <c r="X222" s="93"/>
      <c r="Y222" s="93"/>
      <c r="Z222" s="245"/>
      <c r="AA222" s="245"/>
      <c r="AB222" s="245"/>
      <c r="AC222" s="245"/>
      <c r="AD222" s="245"/>
      <c r="AE222" s="245"/>
      <c r="AF222" s="245"/>
      <c r="AG222" s="245"/>
      <c r="AH222" s="245"/>
      <c r="AI222" s="245"/>
      <c r="AJ222" s="245"/>
      <c r="AK222" s="93"/>
    </row>
    <row r="223" spans="1:37" ht="15">
      <c r="A223" s="92"/>
      <c r="B223" s="245"/>
      <c r="C223" s="245"/>
      <c r="D223" s="245"/>
      <c r="E223" s="245"/>
      <c r="F223" s="245"/>
      <c r="G223" s="245"/>
      <c r="H223" s="245"/>
      <c r="I223" s="245"/>
      <c r="J223" s="245"/>
      <c r="K223" s="245"/>
      <c r="L223" s="245"/>
      <c r="M223" s="93"/>
      <c r="N223" s="93"/>
      <c r="O223" s="93"/>
      <c r="P223" s="93"/>
      <c r="Q223" s="93"/>
      <c r="R223" s="93"/>
      <c r="S223" s="93"/>
      <c r="T223" s="93"/>
      <c r="U223" s="93"/>
      <c r="V223" s="93"/>
      <c r="W223" s="93"/>
      <c r="X223" s="93"/>
      <c r="Y223" s="93"/>
      <c r="Z223" s="245"/>
      <c r="AA223" s="245"/>
      <c r="AB223" s="245"/>
      <c r="AC223" s="245"/>
      <c r="AD223" s="245"/>
      <c r="AE223" s="245"/>
      <c r="AF223" s="245"/>
      <c r="AG223" s="245"/>
      <c r="AH223" s="245"/>
      <c r="AI223" s="245"/>
      <c r="AJ223" s="245"/>
      <c r="AK223" s="93"/>
    </row>
    <row r="224" spans="1:37" ht="15">
      <c r="A224" s="92"/>
      <c r="B224" s="245"/>
      <c r="C224" s="245"/>
      <c r="D224" s="245"/>
      <c r="E224" s="245"/>
      <c r="F224" s="245"/>
      <c r="G224" s="245"/>
      <c r="H224" s="245"/>
      <c r="I224" s="245"/>
      <c r="J224" s="245"/>
      <c r="K224" s="245"/>
      <c r="L224" s="245"/>
      <c r="M224" s="93"/>
      <c r="N224" s="93"/>
      <c r="O224" s="93"/>
      <c r="P224" s="93"/>
      <c r="Q224" s="93"/>
      <c r="R224" s="93"/>
      <c r="S224" s="93"/>
      <c r="T224" s="93"/>
      <c r="U224" s="93"/>
      <c r="V224" s="93"/>
      <c r="W224" s="93"/>
      <c r="X224" s="93"/>
      <c r="Y224" s="93"/>
      <c r="Z224" s="245"/>
      <c r="AA224" s="245"/>
      <c r="AB224" s="245"/>
      <c r="AC224" s="245"/>
      <c r="AD224" s="245"/>
      <c r="AE224" s="245"/>
      <c r="AF224" s="245"/>
      <c r="AG224" s="245"/>
      <c r="AH224" s="245"/>
      <c r="AI224" s="245"/>
      <c r="AJ224" s="245"/>
      <c r="AK224" s="93"/>
    </row>
    <row r="225" spans="1:37" ht="15">
      <c r="A225" s="92"/>
      <c r="B225" s="245"/>
      <c r="C225" s="245"/>
      <c r="D225" s="245"/>
      <c r="E225" s="245"/>
      <c r="F225" s="245"/>
      <c r="G225" s="245"/>
      <c r="H225" s="245"/>
      <c r="I225" s="245"/>
      <c r="J225" s="245"/>
      <c r="K225" s="245"/>
      <c r="L225" s="245"/>
      <c r="M225" s="93"/>
      <c r="N225" s="93"/>
      <c r="O225" s="93"/>
      <c r="P225" s="93"/>
      <c r="Q225" s="93"/>
      <c r="R225" s="93"/>
      <c r="S225" s="93"/>
      <c r="T225" s="93"/>
      <c r="U225" s="93"/>
      <c r="V225" s="93"/>
      <c r="W225" s="93"/>
      <c r="X225" s="93"/>
      <c r="Y225" s="93"/>
      <c r="Z225" s="245"/>
      <c r="AA225" s="245"/>
      <c r="AB225" s="245"/>
      <c r="AC225" s="245"/>
      <c r="AD225" s="245"/>
      <c r="AE225" s="245"/>
      <c r="AF225" s="245"/>
      <c r="AG225" s="245"/>
      <c r="AH225" s="245"/>
      <c r="AI225" s="245"/>
      <c r="AJ225" s="245"/>
      <c r="AK225" s="93"/>
    </row>
    <row r="226" spans="1:37" ht="15">
      <c r="A226" s="92"/>
      <c r="B226" s="245"/>
      <c r="C226" s="245"/>
      <c r="D226" s="245"/>
      <c r="E226" s="245"/>
      <c r="F226" s="245"/>
      <c r="G226" s="245"/>
      <c r="H226" s="245"/>
      <c r="I226" s="245"/>
      <c r="J226" s="245"/>
      <c r="K226" s="245"/>
      <c r="L226" s="245"/>
      <c r="M226" s="93"/>
      <c r="N226" s="93"/>
      <c r="O226" s="93"/>
      <c r="P226" s="93"/>
      <c r="Q226" s="93"/>
      <c r="R226" s="93"/>
      <c r="S226" s="93"/>
      <c r="T226" s="93"/>
      <c r="U226" s="93"/>
      <c r="V226" s="93"/>
      <c r="W226" s="93"/>
      <c r="X226" s="93"/>
      <c r="Y226" s="93"/>
      <c r="Z226" s="245"/>
      <c r="AA226" s="245"/>
      <c r="AB226" s="245"/>
      <c r="AC226" s="245"/>
      <c r="AD226" s="245"/>
      <c r="AE226" s="245"/>
      <c r="AF226" s="245"/>
      <c r="AG226" s="245"/>
      <c r="AH226" s="245"/>
      <c r="AI226" s="245"/>
      <c r="AJ226" s="245"/>
      <c r="AK226" s="93"/>
    </row>
    <row r="227" spans="1:37" ht="15">
      <c r="A227" s="92"/>
      <c r="B227" s="245"/>
      <c r="C227" s="245"/>
      <c r="D227" s="245"/>
      <c r="E227" s="245"/>
      <c r="F227" s="245"/>
      <c r="G227" s="245"/>
      <c r="H227" s="245"/>
      <c r="I227" s="245"/>
      <c r="J227" s="245"/>
      <c r="K227" s="245"/>
      <c r="L227" s="245"/>
      <c r="M227" s="93"/>
      <c r="N227" s="93"/>
      <c r="O227" s="93"/>
      <c r="P227" s="93"/>
      <c r="Q227" s="93"/>
      <c r="R227" s="93"/>
      <c r="S227" s="93"/>
      <c r="T227" s="93"/>
      <c r="U227" s="93"/>
      <c r="V227" s="93"/>
      <c r="W227" s="93"/>
      <c r="X227" s="93"/>
      <c r="Y227" s="93"/>
      <c r="Z227" s="245"/>
      <c r="AA227" s="245"/>
      <c r="AB227" s="245"/>
      <c r="AC227" s="245"/>
      <c r="AD227" s="245"/>
      <c r="AE227" s="245"/>
      <c r="AF227" s="245"/>
      <c r="AG227" s="245"/>
      <c r="AH227" s="245"/>
      <c r="AI227" s="245"/>
      <c r="AJ227" s="245"/>
      <c r="AK227" s="93"/>
    </row>
    <row r="228" spans="1:37" ht="15">
      <c r="A228" s="92"/>
      <c r="B228" s="245"/>
      <c r="C228" s="245"/>
      <c r="D228" s="245"/>
      <c r="E228" s="245"/>
      <c r="F228" s="245"/>
      <c r="G228" s="245"/>
      <c r="H228" s="245"/>
      <c r="I228" s="245"/>
      <c r="J228" s="245"/>
      <c r="K228" s="245"/>
      <c r="L228" s="245"/>
      <c r="M228" s="93"/>
      <c r="N228" s="93"/>
      <c r="O228" s="93"/>
      <c r="P228" s="93"/>
      <c r="Q228" s="93"/>
      <c r="R228" s="93"/>
      <c r="S228" s="93"/>
      <c r="T228" s="93"/>
      <c r="U228" s="93"/>
      <c r="V228" s="93"/>
      <c r="W228" s="93"/>
      <c r="X228" s="93"/>
      <c r="Y228" s="93"/>
      <c r="Z228" s="245"/>
      <c r="AA228" s="245"/>
      <c r="AB228" s="245"/>
      <c r="AC228" s="245"/>
      <c r="AD228" s="245"/>
      <c r="AE228" s="245"/>
      <c r="AF228" s="245"/>
      <c r="AG228" s="245"/>
      <c r="AH228" s="245"/>
      <c r="AI228" s="245"/>
      <c r="AJ228" s="245"/>
      <c r="AK228" s="93"/>
    </row>
    <row r="229" spans="1:37" ht="15">
      <c r="A229" s="92"/>
      <c r="B229" s="245"/>
      <c r="C229" s="245"/>
      <c r="D229" s="245"/>
      <c r="E229" s="245"/>
      <c r="F229" s="245"/>
      <c r="G229" s="245"/>
      <c r="H229" s="245"/>
      <c r="I229" s="245"/>
      <c r="J229" s="245"/>
      <c r="K229" s="245"/>
      <c r="L229" s="245"/>
      <c r="M229" s="93"/>
      <c r="N229" s="93"/>
      <c r="O229" s="93"/>
      <c r="P229" s="93"/>
      <c r="Q229" s="93"/>
      <c r="R229" s="93"/>
      <c r="S229" s="93"/>
      <c r="T229" s="93"/>
      <c r="U229" s="93"/>
      <c r="V229" s="93"/>
      <c r="W229" s="93"/>
      <c r="X229" s="93"/>
      <c r="Y229" s="93"/>
      <c r="Z229" s="245"/>
      <c r="AA229" s="245"/>
      <c r="AB229" s="245"/>
      <c r="AC229" s="245"/>
      <c r="AD229" s="245"/>
      <c r="AE229" s="245"/>
      <c r="AF229" s="245"/>
      <c r="AG229" s="245"/>
      <c r="AH229" s="245"/>
      <c r="AI229" s="245"/>
      <c r="AJ229" s="245"/>
      <c r="AK229" s="93"/>
    </row>
    <row r="230" spans="1:37" ht="15">
      <c r="A230" s="92"/>
      <c r="B230" s="245"/>
      <c r="C230" s="245"/>
      <c r="D230" s="245"/>
      <c r="E230" s="245"/>
      <c r="F230" s="245"/>
      <c r="G230" s="245"/>
      <c r="H230" s="245"/>
      <c r="I230" s="245"/>
      <c r="J230" s="245"/>
      <c r="K230" s="245"/>
      <c r="L230" s="245"/>
      <c r="M230" s="93"/>
      <c r="N230" s="93"/>
      <c r="O230" s="93"/>
      <c r="P230" s="93"/>
      <c r="Q230" s="93"/>
      <c r="R230" s="93"/>
      <c r="S230" s="93"/>
      <c r="T230" s="93"/>
      <c r="U230" s="93"/>
      <c r="V230" s="93"/>
      <c r="W230" s="93"/>
      <c r="X230" s="93"/>
      <c r="Y230" s="93"/>
      <c r="Z230" s="245"/>
      <c r="AA230" s="245"/>
      <c r="AB230" s="245"/>
      <c r="AC230" s="245"/>
      <c r="AD230" s="245"/>
      <c r="AE230" s="245"/>
      <c r="AF230" s="245"/>
      <c r="AG230" s="245"/>
      <c r="AH230" s="245"/>
      <c r="AI230" s="245"/>
      <c r="AJ230" s="245"/>
      <c r="AK230" s="93"/>
    </row>
    <row r="231" spans="1:37" ht="15">
      <c r="A231" s="92"/>
      <c r="B231" s="245"/>
      <c r="C231" s="245"/>
      <c r="D231" s="245"/>
      <c r="E231" s="245"/>
      <c r="F231" s="245"/>
      <c r="G231" s="245"/>
      <c r="H231" s="245"/>
      <c r="I231" s="245"/>
      <c r="J231" s="245"/>
      <c r="K231" s="245"/>
      <c r="L231" s="245"/>
      <c r="M231" s="93"/>
      <c r="N231" s="93"/>
      <c r="O231" s="93"/>
      <c r="P231" s="93"/>
      <c r="Q231" s="93"/>
      <c r="R231" s="93"/>
      <c r="S231" s="93"/>
      <c r="T231" s="93"/>
      <c r="U231" s="93"/>
      <c r="V231" s="93"/>
      <c r="W231" s="93"/>
      <c r="X231" s="93"/>
      <c r="Y231" s="93"/>
      <c r="Z231" s="245"/>
      <c r="AA231" s="245"/>
      <c r="AB231" s="245"/>
      <c r="AC231" s="245"/>
      <c r="AD231" s="245"/>
      <c r="AE231" s="245"/>
      <c r="AF231" s="245"/>
      <c r="AG231" s="245"/>
      <c r="AH231" s="245"/>
      <c r="AI231" s="245"/>
      <c r="AJ231" s="245"/>
      <c r="AK231" s="93"/>
    </row>
    <row r="232" spans="1:37" ht="15">
      <c r="A232" s="92"/>
      <c r="B232" s="245"/>
      <c r="C232" s="245"/>
      <c r="D232" s="245"/>
      <c r="E232" s="245"/>
      <c r="F232" s="245"/>
      <c r="G232" s="245"/>
      <c r="H232" s="245"/>
      <c r="I232" s="245"/>
      <c r="J232" s="245"/>
      <c r="K232" s="245"/>
      <c r="L232" s="245"/>
      <c r="M232" s="93"/>
      <c r="N232" s="93"/>
      <c r="O232" s="93"/>
      <c r="P232" s="93"/>
      <c r="Q232" s="93"/>
      <c r="R232" s="93"/>
      <c r="S232" s="93"/>
      <c r="T232" s="93"/>
      <c r="U232" s="93"/>
      <c r="V232" s="93"/>
      <c r="W232" s="93"/>
      <c r="X232" s="93"/>
      <c r="Y232" s="93"/>
      <c r="Z232" s="245"/>
      <c r="AA232" s="245"/>
      <c r="AB232" s="245"/>
      <c r="AC232" s="245"/>
      <c r="AD232" s="245"/>
      <c r="AE232" s="245"/>
      <c r="AF232" s="245"/>
      <c r="AG232" s="245"/>
      <c r="AH232" s="245"/>
      <c r="AI232" s="245"/>
      <c r="AJ232" s="245"/>
      <c r="AK232" s="93"/>
    </row>
    <row r="233" spans="1:37" ht="15">
      <c r="A233" s="92"/>
      <c r="B233" s="245"/>
      <c r="C233" s="245"/>
      <c r="D233" s="245"/>
      <c r="E233" s="245"/>
      <c r="F233" s="245"/>
      <c r="G233" s="245"/>
      <c r="H233" s="245"/>
      <c r="I233" s="245"/>
      <c r="J233" s="245"/>
      <c r="K233" s="245"/>
      <c r="L233" s="245"/>
      <c r="M233" s="93"/>
      <c r="N233" s="93"/>
      <c r="O233" s="93"/>
      <c r="P233" s="93"/>
      <c r="Q233" s="93"/>
      <c r="R233" s="93"/>
      <c r="S233" s="93"/>
      <c r="T233" s="93"/>
      <c r="U233" s="93"/>
      <c r="V233" s="93"/>
      <c r="W233" s="93"/>
      <c r="X233" s="93"/>
      <c r="Y233" s="93"/>
      <c r="Z233" s="245"/>
      <c r="AA233" s="245"/>
      <c r="AB233" s="245"/>
      <c r="AC233" s="245"/>
      <c r="AD233" s="245"/>
      <c r="AE233" s="245"/>
      <c r="AF233" s="245"/>
      <c r="AG233" s="245"/>
      <c r="AH233" s="245"/>
      <c r="AI233" s="245"/>
      <c r="AJ233" s="245"/>
      <c r="AK233" s="93"/>
    </row>
    <row r="234" spans="1:37" ht="15.75">
      <c r="A234" s="278"/>
      <c r="B234" s="245"/>
      <c r="C234" s="245"/>
      <c r="D234" s="245"/>
      <c r="E234" s="245"/>
      <c r="F234" s="245"/>
      <c r="G234" s="245"/>
      <c r="H234" s="245"/>
      <c r="I234" s="245"/>
      <c r="J234" s="245"/>
      <c r="K234" s="245"/>
      <c r="L234" s="245"/>
      <c r="M234" s="93"/>
      <c r="N234" s="93"/>
      <c r="O234" s="93"/>
      <c r="P234" s="93"/>
      <c r="Q234" s="93"/>
      <c r="R234" s="93"/>
      <c r="S234" s="93"/>
      <c r="T234" s="93"/>
      <c r="U234" s="93"/>
      <c r="V234" s="93"/>
      <c r="W234" s="93"/>
      <c r="X234" s="93"/>
      <c r="Y234" s="93"/>
      <c r="Z234" s="245"/>
      <c r="AA234" s="245"/>
      <c r="AB234" s="245"/>
      <c r="AC234" s="245"/>
      <c r="AD234" s="245"/>
      <c r="AE234" s="245"/>
      <c r="AF234" s="245"/>
      <c r="AG234" s="245"/>
      <c r="AH234" s="245"/>
      <c r="AI234" s="245"/>
      <c r="AJ234" s="245"/>
      <c r="AK234" s="93"/>
    </row>
    <row r="235" spans="1:37" ht="15">
      <c r="A235" s="16"/>
      <c r="B235" s="245"/>
      <c r="C235" s="245"/>
      <c r="D235" s="245"/>
      <c r="E235" s="245"/>
      <c r="F235" s="245"/>
      <c r="G235" s="245"/>
      <c r="H235" s="245"/>
      <c r="I235" s="245"/>
      <c r="J235" s="245"/>
      <c r="K235" s="245"/>
      <c r="L235" s="245"/>
      <c r="M235" s="93"/>
      <c r="N235" s="93"/>
      <c r="O235" s="93"/>
      <c r="P235" s="93"/>
      <c r="Q235" s="93"/>
      <c r="R235" s="93"/>
      <c r="S235" s="93"/>
      <c r="T235" s="93"/>
      <c r="U235" s="93"/>
      <c r="V235" s="93"/>
      <c r="W235" s="93"/>
      <c r="X235" s="93"/>
      <c r="Y235" s="93"/>
      <c r="Z235" s="245"/>
      <c r="AA235" s="245"/>
      <c r="AB235" s="245"/>
      <c r="AC235" s="245"/>
      <c r="AD235" s="245"/>
      <c r="AE235" s="245"/>
      <c r="AF235" s="245"/>
      <c r="AG235" s="245"/>
      <c r="AH235" s="245"/>
      <c r="AI235" s="245"/>
      <c r="AJ235" s="245"/>
      <c r="AK235" s="93"/>
    </row>
    <row r="236" spans="1:37" ht="15">
      <c r="A236" s="92"/>
      <c r="B236" s="245"/>
      <c r="C236" s="245"/>
      <c r="D236" s="245"/>
      <c r="E236" s="245"/>
      <c r="F236" s="245"/>
      <c r="G236" s="245"/>
      <c r="H236" s="245"/>
      <c r="I236" s="245"/>
      <c r="J236" s="245"/>
      <c r="K236" s="245"/>
      <c r="L236" s="245"/>
      <c r="M236" s="93"/>
      <c r="N236" s="93"/>
      <c r="O236" s="93"/>
      <c r="P236" s="93"/>
      <c r="Q236" s="93"/>
      <c r="R236" s="93"/>
      <c r="S236" s="93"/>
      <c r="T236" s="93"/>
      <c r="U236" s="93"/>
      <c r="V236" s="93"/>
      <c r="W236" s="93"/>
      <c r="X236" s="93"/>
      <c r="Y236" s="93"/>
      <c r="Z236" s="245"/>
      <c r="AA236" s="245"/>
      <c r="AB236" s="245"/>
      <c r="AC236" s="245"/>
      <c r="AD236" s="245"/>
      <c r="AE236" s="245"/>
      <c r="AF236" s="245"/>
      <c r="AG236" s="245"/>
      <c r="AH236" s="245"/>
      <c r="AI236" s="245"/>
      <c r="AJ236" s="245"/>
      <c r="AK236" s="93"/>
    </row>
    <row r="237" spans="1:37" ht="15">
      <c r="A237" s="92"/>
      <c r="B237" s="245"/>
      <c r="C237" s="245"/>
      <c r="D237" s="245"/>
      <c r="E237" s="245"/>
      <c r="F237" s="245"/>
      <c r="G237" s="245"/>
      <c r="H237" s="245"/>
      <c r="I237" s="245"/>
      <c r="J237" s="245"/>
      <c r="K237" s="245"/>
      <c r="L237" s="245"/>
      <c r="M237" s="93"/>
      <c r="N237" s="93"/>
      <c r="O237" s="93"/>
      <c r="P237" s="93"/>
      <c r="Q237" s="93"/>
      <c r="R237" s="93"/>
      <c r="S237" s="93"/>
      <c r="T237" s="93"/>
      <c r="U237" s="93"/>
      <c r="V237" s="93"/>
      <c r="W237" s="93"/>
      <c r="X237" s="93"/>
      <c r="Y237" s="93"/>
      <c r="Z237" s="245"/>
      <c r="AA237" s="245"/>
      <c r="AB237" s="245"/>
      <c r="AC237" s="245"/>
      <c r="AD237" s="245"/>
      <c r="AE237" s="245"/>
      <c r="AF237" s="245"/>
      <c r="AG237" s="245"/>
      <c r="AH237" s="245"/>
      <c r="AI237" s="245"/>
      <c r="AJ237" s="245"/>
      <c r="AK237" s="93"/>
    </row>
    <row r="238" spans="1:37" ht="15">
      <c r="A238" s="92"/>
      <c r="B238" s="245"/>
      <c r="C238" s="245"/>
      <c r="D238" s="245"/>
      <c r="E238" s="245"/>
      <c r="F238" s="245"/>
      <c r="G238" s="245"/>
      <c r="H238" s="245"/>
      <c r="I238" s="245"/>
      <c r="J238" s="245"/>
      <c r="K238" s="245"/>
      <c r="L238" s="245"/>
      <c r="M238" s="93"/>
      <c r="N238" s="93"/>
      <c r="O238" s="93"/>
      <c r="P238" s="93"/>
      <c r="Q238" s="93"/>
      <c r="R238" s="93"/>
      <c r="S238" s="93"/>
      <c r="T238" s="93"/>
      <c r="U238" s="93"/>
      <c r="V238" s="93"/>
      <c r="W238" s="93"/>
      <c r="X238" s="93"/>
      <c r="Y238" s="93"/>
      <c r="Z238" s="245"/>
      <c r="AA238" s="245"/>
      <c r="AB238" s="245"/>
      <c r="AC238" s="245"/>
      <c r="AD238" s="245"/>
      <c r="AE238" s="245"/>
      <c r="AF238" s="245"/>
      <c r="AG238" s="245"/>
      <c r="AH238" s="245"/>
      <c r="AI238" s="245"/>
      <c r="AJ238" s="245"/>
      <c r="AK238" s="93"/>
    </row>
    <row r="239" spans="1:37" ht="15">
      <c r="A239" s="92"/>
      <c r="B239" s="245"/>
      <c r="C239" s="245"/>
      <c r="D239" s="245"/>
      <c r="E239" s="245"/>
      <c r="F239" s="245"/>
      <c r="G239" s="245"/>
      <c r="H239" s="245"/>
      <c r="I239" s="245"/>
      <c r="J239" s="245"/>
      <c r="K239" s="245"/>
      <c r="L239" s="245"/>
      <c r="M239" s="93"/>
      <c r="N239" s="93"/>
      <c r="O239" s="93"/>
      <c r="P239" s="93"/>
      <c r="Q239" s="93"/>
      <c r="R239" s="93"/>
      <c r="S239" s="93"/>
      <c r="T239" s="93"/>
      <c r="U239" s="93"/>
      <c r="V239" s="93"/>
      <c r="W239" s="93"/>
      <c r="X239" s="93"/>
      <c r="Y239" s="93"/>
      <c r="Z239" s="245"/>
      <c r="AA239" s="245"/>
      <c r="AB239" s="245"/>
      <c r="AC239" s="245"/>
      <c r="AD239" s="245"/>
      <c r="AE239" s="245"/>
      <c r="AF239" s="245"/>
      <c r="AG239" s="245"/>
      <c r="AH239" s="245"/>
      <c r="AI239" s="245"/>
      <c r="AJ239" s="245"/>
      <c r="AK239" s="93"/>
    </row>
    <row r="240" spans="1:37" ht="15">
      <c r="A240" s="92"/>
      <c r="B240" s="245"/>
      <c r="C240" s="245"/>
      <c r="D240" s="245"/>
      <c r="E240" s="245"/>
      <c r="F240" s="245"/>
      <c r="G240" s="245"/>
      <c r="H240" s="245"/>
      <c r="I240" s="245"/>
      <c r="J240" s="245"/>
      <c r="K240" s="245"/>
      <c r="L240" s="245"/>
      <c r="M240" s="93"/>
      <c r="N240" s="93"/>
      <c r="O240" s="93"/>
      <c r="P240" s="93"/>
      <c r="Q240" s="93"/>
      <c r="R240" s="93"/>
      <c r="S240" s="93"/>
      <c r="T240" s="93"/>
      <c r="U240" s="93"/>
      <c r="V240" s="93"/>
      <c r="W240" s="93"/>
      <c r="X240" s="93"/>
      <c r="Y240" s="93"/>
      <c r="Z240" s="245"/>
      <c r="AA240" s="245"/>
      <c r="AB240" s="245"/>
      <c r="AC240" s="245"/>
      <c r="AD240" s="245"/>
      <c r="AE240" s="245"/>
      <c r="AF240" s="245"/>
      <c r="AG240" s="245"/>
      <c r="AH240" s="245"/>
      <c r="AI240" s="245"/>
      <c r="AJ240" s="245"/>
      <c r="AK240" s="93"/>
    </row>
    <row r="241" spans="1:37" ht="15">
      <c r="A241" s="92"/>
      <c r="B241" s="245"/>
      <c r="C241" s="245"/>
      <c r="D241" s="245"/>
      <c r="E241" s="245"/>
      <c r="F241" s="245"/>
      <c r="G241" s="245"/>
      <c r="H241" s="245"/>
      <c r="I241" s="245"/>
      <c r="J241" s="245"/>
      <c r="K241" s="245"/>
      <c r="L241" s="245"/>
      <c r="M241" s="93"/>
      <c r="N241" s="93"/>
      <c r="O241" s="93"/>
      <c r="P241" s="93"/>
      <c r="Q241" s="93"/>
      <c r="R241" s="93"/>
      <c r="S241" s="93"/>
      <c r="T241" s="93"/>
      <c r="U241" s="93"/>
      <c r="V241" s="93"/>
      <c r="W241" s="93"/>
      <c r="X241" s="93"/>
      <c r="Y241" s="93"/>
      <c r="Z241" s="245"/>
      <c r="AA241" s="245"/>
      <c r="AB241" s="245"/>
      <c r="AC241" s="245"/>
      <c r="AD241" s="245"/>
      <c r="AE241" s="245"/>
      <c r="AF241" s="245"/>
      <c r="AG241" s="245"/>
      <c r="AH241" s="245"/>
      <c r="AI241" s="245"/>
      <c r="AJ241" s="245"/>
      <c r="AK241" s="93"/>
    </row>
    <row r="242" spans="1:37" ht="15">
      <c r="A242" s="92"/>
      <c r="B242" s="245"/>
      <c r="C242" s="245"/>
      <c r="D242" s="245"/>
      <c r="E242" s="245"/>
      <c r="F242" s="245"/>
      <c r="G242" s="245"/>
      <c r="H242" s="245"/>
      <c r="I242" s="245"/>
      <c r="J242" s="245"/>
      <c r="K242" s="245"/>
      <c r="L242" s="245"/>
      <c r="M242" s="93"/>
      <c r="N242" s="93"/>
      <c r="O242" s="93"/>
      <c r="P242" s="93"/>
      <c r="Q242" s="93"/>
      <c r="R242" s="93"/>
      <c r="S242" s="93"/>
      <c r="T242" s="93"/>
      <c r="U242" s="93"/>
      <c r="V242" s="93"/>
      <c r="W242" s="93"/>
      <c r="X242" s="93"/>
      <c r="Y242" s="93"/>
      <c r="Z242" s="245"/>
      <c r="AA242" s="245"/>
      <c r="AB242" s="245"/>
      <c r="AC242" s="245"/>
      <c r="AD242" s="245"/>
      <c r="AE242" s="245"/>
      <c r="AF242" s="245"/>
      <c r="AG242" s="245"/>
      <c r="AH242" s="245"/>
      <c r="AI242" s="245"/>
      <c r="AJ242" s="245"/>
      <c r="AK242" s="93"/>
    </row>
    <row r="243" spans="1:37" ht="15">
      <c r="A243" s="92"/>
      <c r="B243" s="245"/>
      <c r="C243" s="245"/>
      <c r="D243" s="245"/>
      <c r="E243" s="245"/>
      <c r="F243" s="245"/>
      <c r="G243" s="245"/>
      <c r="H243" s="245"/>
      <c r="I243" s="245"/>
      <c r="J243" s="245"/>
      <c r="K243" s="245"/>
      <c r="L243" s="245"/>
      <c r="M243" s="93"/>
      <c r="N243" s="93"/>
      <c r="O243" s="93"/>
      <c r="P243" s="93"/>
      <c r="Q243" s="93"/>
      <c r="R243" s="93"/>
      <c r="S243" s="93"/>
      <c r="T243" s="93"/>
      <c r="U243" s="93"/>
      <c r="V243" s="93"/>
      <c r="W243" s="93"/>
      <c r="X243" s="93"/>
      <c r="Y243" s="93"/>
      <c r="Z243" s="245"/>
      <c r="AA243" s="245"/>
      <c r="AB243" s="245"/>
      <c r="AC243" s="245"/>
      <c r="AD243" s="245"/>
      <c r="AE243" s="245"/>
      <c r="AF243" s="245"/>
      <c r="AG243" s="245"/>
      <c r="AH243" s="245"/>
      <c r="AI243" s="245"/>
      <c r="AJ243" s="245"/>
      <c r="AK243" s="93"/>
    </row>
    <row r="244" spans="1:37" ht="15">
      <c r="A244" s="92"/>
      <c r="B244" s="245"/>
      <c r="C244" s="245"/>
      <c r="D244" s="245"/>
      <c r="E244" s="245"/>
      <c r="F244" s="245"/>
      <c r="G244" s="245"/>
      <c r="H244" s="245"/>
      <c r="I244" s="245"/>
      <c r="J244" s="245"/>
      <c r="K244" s="245"/>
      <c r="L244" s="245"/>
      <c r="M244" s="93"/>
      <c r="N244" s="93"/>
      <c r="O244" s="93"/>
      <c r="P244" s="93"/>
      <c r="Q244" s="93"/>
      <c r="R244" s="93"/>
      <c r="S244" s="93"/>
      <c r="T244" s="93"/>
      <c r="U244" s="93"/>
      <c r="V244" s="93"/>
      <c r="W244" s="93"/>
      <c r="X244" s="93"/>
      <c r="Y244" s="93"/>
      <c r="Z244" s="245"/>
      <c r="AA244" s="245"/>
      <c r="AB244" s="245"/>
      <c r="AC244" s="245"/>
      <c r="AD244" s="245"/>
      <c r="AE244" s="245"/>
      <c r="AF244" s="245"/>
      <c r="AG244" s="245"/>
      <c r="AH244" s="245"/>
      <c r="AI244" s="245"/>
      <c r="AJ244" s="245"/>
      <c r="AK244" s="93"/>
    </row>
    <row r="245" spans="1:37" ht="15">
      <c r="A245" s="92"/>
      <c r="B245" s="245"/>
      <c r="C245" s="245"/>
      <c r="D245" s="245"/>
      <c r="E245" s="245"/>
      <c r="F245" s="245"/>
      <c r="G245" s="245"/>
      <c r="H245" s="245"/>
      <c r="I245" s="245"/>
      <c r="J245" s="245"/>
      <c r="K245" s="245"/>
      <c r="L245" s="245"/>
      <c r="M245" s="93"/>
      <c r="N245" s="93"/>
      <c r="O245" s="93"/>
      <c r="P245" s="93"/>
      <c r="Q245" s="93"/>
      <c r="R245" s="93"/>
      <c r="S245" s="93"/>
      <c r="T245" s="93"/>
      <c r="U245" s="93"/>
      <c r="V245" s="93"/>
      <c r="W245" s="93"/>
      <c r="X245" s="93"/>
      <c r="Y245" s="93"/>
      <c r="Z245" s="245"/>
      <c r="AA245" s="245"/>
      <c r="AB245" s="245"/>
      <c r="AC245" s="245"/>
      <c r="AD245" s="245"/>
      <c r="AE245" s="245"/>
      <c r="AF245" s="245"/>
      <c r="AG245" s="245"/>
      <c r="AH245" s="245"/>
      <c r="AI245" s="245"/>
      <c r="AJ245" s="245"/>
      <c r="AK245" s="93"/>
    </row>
    <row r="246" spans="1:37" ht="15">
      <c r="A246" s="92"/>
      <c r="B246" s="245"/>
      <c r="C246" s="245"/>
      <c r="D246" s="245"/>
      <c r="E246" s="245"/>
      <c r="F246" s="245"/>
      <c r="G246" s="245"/>
      <c r="H246" s="245"/>
      <c r="I246" s="245"/>
      <c r="J246" s="245"/>
      <c r="K246" s="245"/>
      <c r="L246" s="245"/>
      <c r="M246" s="93"/>
      <c r="N246" s="93"/>
      <c r="O246" s="93"/>
      <c r="P246" s="93"/>
      <c r="Q246" s="93"/>
      <c r="R246" s="93"/>
      <c r="S246" s="93"/>
      <c r="T246" s="93"/>
      <c r="U246" s="93"/>
      <c r="V246" s="93"/>
      <c r="W246" s="93"/>
      <c r="X246" s="93"/>
      <c r="Y246" s="93"/>
      <c r="Z246" s="245"/>
      <c r="AA246" s="245"/>
      <c r="AB246" s="245"/>
      <c r="AC246" s="245"/>
      <c r="AD246" s="245"/>
      <c r="AE246" s="245"/>
      <c r="AF246" s="245"/>
      <c r="AG246" s="245"/>
      <c r="AH246" s="245"/>
      <c r="AI246" s="245"/>
      <c r="AJ246" s="245"/>
      <c r="AK246" s="93"/>
    </row>
    <row r="247" spans="1:37" ht="15">
      <c r="A247" s="92"/>
      <c r="B247" s="245"/>
      <c r="C247" s="245"/>
      <c r="D247" s="245"/>
      <c r="E247" s="245"/>
      <c r="F247" s="245"/>
      <c r="G247" s="245"/>
      <c r="H247" s="245"/>
      <c r="I247" s="245"/>
      <c r="J247" s="245"/>
      <c r="K247" s="245"/>
      <c r="L247" s="245"/>
      <c r="M247" s="93"/>
      <c r="N247" s="93"/>
      <c r="O247" s="93"/>
      <c r="P247" s="93"/>
      <c r="Q247" s="93"/>
      <c r="R247" s="93"/>
      <c r="S247" s="93"/>
      <c r="T247" s="93"/>
      <c r="U247" s="93"/>
      <c r="V247" s="93"/>
      <c r="W247" s="93"/>
      <c r="X247" s="93"/>
      <c r="Y247" s="93"/>
      <c r="Z247" s="245"/>
      <c r="AA247" s="245"/>
      <c r="AB247" s="245"/>
      <c r="AC247" s="245"/>
      <c r="AD247" s="245"/>
      <c r="AE247" s="245"/>
      <c r="AF247" s="245"/>
      <c r="AG247" s="245"/>
      <c r="AH247" s="245"/>
      <c r="AI247" s="245"/>
      <c r="AJ247" s="245"/>
      <c r="AK247" s="93"/>
    </row>
    <row r="248" spans="1:37" ht="15">
      <c r="A248" s="92"/>
      <c r="B248" s="245"/>
      <c r="C248" s="245"/>
      <c r="D248" s="245"/>
      <c r="E248" s="245"/>
      <c r="F248" s="245"/>
      <c r="G248" s="245"/>
      <c r="H248" s="245"/>
      <c r="I248" s="245"/>
      <c r="J248" s="245"/>
      <c r="K248" s="245"/>
      <c r="L248" s="245"/>
      <c r="M248" s="93"/>
      <c r="N248" s="93"/>
      <c r="O248" s="93"/>
      <c r="P248" s="93"/>
      <c r="Q248" s="93"/>
      <c r="R248" s="93"/>
      <c r="S248" s="93"/>
      <c r="T248" s="93"/>
      <c r="U248" s="93"/>
      <c r="V248" s="93"/>
      <c r="W248" s="93"/>
      <c r="X248" s="93"/>
      <c r="Y248" s="93"/>
      <c r="Z248" s="245"/>
      <c r="AA248" s="245"/>
      <c r="AB248" s="245"/>
      <c r="AC248" s="245"/>
      <c r="AD248" s="245"/>
      <c r="AE248" s="245"/>
      <c r="AF248" s="245"/>
      <c r="AG248" s="245"/>
      <c r="AH248" s="245"/>
      <c r="AI248" s="245"/>
      <c r="AJ248" s="245"/>
      <c r="AK248" s="93"/>
    </row>
    <row r="249" spans="1:37" ht="15">
      <c r="A249" s="16"/>
      <c r="B249" s="245"/>
      <c r="C249" s="245"/>
      <c r="D249" s="245"/>
      <c r="E249" s="245"/>
      <c r="F249" s="245"/>
      <c r="G249" s="245"/>
      <c r="H249" s="245"/>
      <c r="I249" s="245"/>
      <c r="J249" s="245"/>
      <c r="K249" s="245"/>
      <c r="L249" s="245"/>
      <c r="M249" s="93"/>
      <c r="N249" s="93"/>
      <c r="O249" s="93"/>
      <c r="P249" s="93"/>
      <c r="Q249" s="93"/>
      <c r="R249" s="93"/>
      <c r="S249" s="93"/>
      <c r="T249" s="93"/>
      <c r="U249" s="93"/>
      <c r="V249" s="93"/>
      <c r="W249" s="93"/>
      <c r="X249" s="93"/>
      <c r="Y249" s="93"/>
      <c r="Z249" s="245"/>
      <c r="AA249" s="245"/>
      <c r="AB249" s="245"/>
      <c r="AC249" s="245"/>
      <c r="AD249" s="245"/>
      <c r="AE249" s="245"/>
      <c r="AF249" s="245"/>
      <c r="AG249" s="245"/>
      <c r="AH249" s="245"/>
      <c r="AI249" s="245"/>
      <c r="AJ249" s="245"/>
      <c r="AK249" s="93"/>
    </row>
    <row r="250" spans="1:37" ht="15">
      <c r="A250" s="279"/>
      <c r="B250" s="245"/>
      <c r="C250" s="245"/>
      <c r="D250" s="245"/>
      <c r="E250" s="245"/>
      <c r="F250" s="245"/>
      <c r="G250" s="245"/>
      <c r="H250" s="245"/>
      <c r="I250" s="245"/>
      <c r="J250" s="245"/>
      <c r="K250" s="245"/>
      <c r="L250" s="245"/>
      <c r="M250" s="93"/>
      <c r="N250" s="93"/>
      <c r="O250" s="93"/>
      <c r="P250" s="93"/>
      <c r="Q250" s="93"/>
      <c r="R250" s="93"/>
      <c r="S250" s="93"/>
      <c r="T250" s="93"/>
      <c r="U250" s="93"/>
      <c r="V250" s="93"/>
      <c r="W250" s="93"/>
      <c r="X250" s="93"/>
      <c r="Y250" s="93"/>
      <c r="Z250" s="245"/>
      <c r="AA250" s="245"/>
      <c r="AB250" s="245"/>
      <c r="AC250" s="245"/>
      <c r="AD250" s="245"/>
      <c r="AE250" s="245"/>
      <c r="AF250" s="245"/>
      <c r="AG250" s="245"/>
      <c r="AH250" s="245"/>
      <c r="AI250" s="245"/>
      <c r="AJ250" s="245"/>
      <c r="AK250" s="93"/>
    </row>
    <row r="251" spans="1:37" ht="15">
      <c r="A251" s="92"/>
      <c r="B251" s="245"/>
      <c r="C251" s="245"/>
      <c r="D251" s="245"/>
      <c r="E251" s="245"/>
      <c r="F251" s="245"/>
      <c r="G251" s="245"/>
      <c r="H251" s="245"/>
      <c r="I251" s="245"/>
      <c r="J251" s="245"/>
      <c r="K251" s="245"/>
      <c r="L251" s="245"/>
      <c r="M251" s="93"/>
      <c r="N251" s="93"/>
      <c r="O251" s="93"/>
      <c r="P251" s="93"/>
      <c r="Q251" s="93"/>
      <c r="R251" s="93"/>
      <c r="S251" s="93"/>
      <c r="T251" s="93"/>
      <c r="U251" s="93"/>
      <c r="V251" s="93"/>
      <c r="W251" s="93"/>
      <c r="X251" s="93"/>
      <c r="Y251" s="93"/>
      <c r="Z251" s="245"/>
      <c r="AA251" s="245"/>
      <c r="AB251" s="245"/>
      <c r="AC251" s="245"/>
      <c r="AD251" s="245"/>
      <c r="AE251" s="245"/>
      <c r="AF251" s="245"/>
      <c r="AG251" s="245"/>
      <c r="AH251" s="245"/>
      <c r="AI251" s="245"/>
      <c r="AJ251" s="245"/>
      <c r="AK251" s="93"/>
    </row>
    <row r="252" spans="1:37" ht="15">
      <c r="A252" s="92"/>
      <c r="B252" s="245"/>
      <c r="C252" s="245"/>
      <c r="D252" s="245"/>
      <c r="E252" s="245"/>
      <c r="F252" s="245"/>
      <c r="G252" s="245"/>
      <c r="H252" s="245"/>
      <c r="I252" s="245"/>
      <c r="J252" s="245"/>
      <c r="K252" s="245"/>
      <c r="L252" s="245"/>
      <c r="M252" s="93"/>
      <c r="N252" s="93"/>
      <c r="O252" s="93"/>
      <c r="P252" s="93"/>
      <c r="Q252" s="93"/>
      <c r="R252" s="93"/>
      <c r="S252" s="93"/>
      <c r="T252" s="93"/>
      <c r="U252" s="93"/>
      <c r="V252" s="93"/>
      <c r="W252" s="93"/>
      <c r="X252" s="93"/>
      <c r="Y252" s="93"/>
      <c r="Z252" s="245"/>
      <c r="AA252" s="245"/>
      <c r="AB252" s="245"/>
      <c r="AC252" s="245"/>
      <c r="AD252" s="245"/>
      <c r="AE252" s="245"/>
      <c r="AF252" s="245"/>
      <c r="AG252" s="245"/>
      <c r="AH252" s="245"/>
      <c r="AI252" s="245"/>
      <c r="AJ252" s="245"/>
      <c r="AK252" s="93"/>
    </row>
    <row r="253" spans="1:37" ht="15">
      <c r="A253" s="92"/>
      <c r="B253" s="245"/>
      <c r="C253" s="245"/>
      <c r="D253" s="245"/>
      <c r="E253" s="245"/>
      <c r="F253" s="245"/>
      <c r="G253" s="245"/>
      <c r="H253" s="245"/>
      <c r="I253" s="245"/>
      <c r="J253" s="245"/>
      <c r="K253" s="245"/>
      <c r="L253" s="245"/>
      <c r="M253" s="93"/>
      <c r="N253" s="93"/>
      <c r="O253" s="93"/>
      <c r="P253" s="93"/>
      <c r="Q253" s="93"/>
      <c r="R253" s="93"/>
      <c r="S253" s="93"/>
      <c r="T253" s="93"/>
      <c r="U253" s="93"/>
      <c r="V253" s="93"/>
      <c r="W253" s="93"/>
      <c r="X253" s="93"/>
      <c r="Y253" s="93"/>
      <c r="Z253" s="245"/>
      <c r="AA253" s="245"/>
      <c r="AB253" s="245"/>
      <c r="AC253" s="245"/>
      <c r="AD253" s="245"/>
      <c r="AE253" s="245"/>
      <c r="AF253" s="245"/>
      <c r="AG253" s="245"/>
      <c r="AH253" s="245"/>
      <c r="AI253" s="245"/>
      <c r="AJ253" s="245"/>
      <c r="AK253" s="93"/>
    </row>
    <row r="254" spans="1:37" ht="15">
      <c r="A254" s="92"/>
      <c r="B254" s="245"/>
      <c r="C254" s="245"/>
      <c r="D254" s="245"/>
      <c r="E254" s="245"/>
      <c r="F254" s="245"/>
      <c r="G254" s="245"/>
      <c r="H254" s="245"/>
      <c r="I254" s="245"/>
      <c r="J254" s="245"/>
      <c r="K254" s="245"/>
      <c r="L254" s="245"/>
      <c r="M254" s="93"/>
      <c r="N254" s="93"/>
      <c r="O254" s="93"/>
      <c r="P254" s="93"/>
      <c r="Q254" s="93"/>
      <c r="R254" s="93"/>
      <c r="S254" s="93"/>
      <c r="T254" s="93"/>
      <c r="U254" s="93"/>
      <c r="V254" s="93"/>
      <c r="W254" s="93"/>
      <c r="X254" s="93"/>
      <c r="Y254" s="93"/>
      <c r="Z254" s="245"/>
      <c r="AA254" s="245"/>
      <c r="AB254" s="245"/>
      <c r="AC254" s="245"/>
      <c r="AD254" s="245"/>
      <c r="AE254" s="245"/>
      <c r="AF254" s="245"/>
      <c r="AG254" s="245"/>
      <c r="AH254" s="245"/>
      <c r="AI254" s="245"/>
      <c r="AJ254" s="245"/>
      <c r="AK254" s="93"/>
    </row>
    <row r="255" spans="1:37" ht="15">
      <c r="A255" s="279"/>
      <c r="B255" s="245"/>
      <c r="C255" s="245"/>
      <c r="D255" s="245"/>
      <c r="E255" s="245"/>
      <c r="F255" s="245"/>
      <c r="G255" s="245"/>
      <c r="H255" s="245"/>
      <c r="I255" s="245"/>
      <c r="J255" s="245"/>
      <c r="K255" s="245"/>
      <c r="L255" s="245"/>
      <c r="M255" s="93"/>
      <c r="N255" s="93"/>
      <c r="O255" s="93"/>
      <c r="P255" s="93"/>
      <c r="Q255" s="93"/>
      <c r="R255" s="93"/>
      <c r="S255" s="93"/>
      <c r="T255" s="93"/>
      <c r="U255" s="93"/>
      <c r="V255" s="93"/>
      <c r="W255" s="93"/>
      <c r="X255" s="93"/>
      <c r="Y255" s="93"/>
      <c r="Z255" s="245"/>
      <c r="AA255" s="245"/>
      <c r="AB255" s="245"/>
      <c r="AC255" s="245"/>
      <c r="AD255" s="245"/>
      <c r="AE255" s="245"/>
      <c r="AF255" s="245"/>
      <c r="AG255" s="245"/>
      <c r="AH255" s="245"/>
      <c r="AI255" s="245"/>
      <c r="AJ255" s="245"/>
      <c r="AK255" s="93"/>
    </row>
    <row r="256" spans="1:37" ht="15">
      <c r="A256" s="92"/>
      <c r="B256" s="245"/>
      <c r="C256" s="245"/>
      <c r="D256" s="245"/>
      <c r="E256" s="245"/>
      <c r="F256" s="245"/>
      <c r="G256" s="245"/>
      <c r="H256" s="245"/>
      <c r="I256" s="245"/>
      <c r="J256" s="245"/>
      <c r="K256" s="245"/>
      <c r="L256" s="245"/>
      <c r="M256" s="93"/>
      <c r="N256" s="93"/>
      <c r="O256" s="93"/>
      <c r="P256" s="93"/>
      <c r="Q256" s="93"/>
      <c r="R256" s="93"/>
      <c r="S256" s="93"/>
      <c r="T256" s="93"/>
      <c r="U256" s="93"/>
      <c r="V256" s="93"/>
      <c r="W256" s="93"/>
      <c r="X256" s="93"/>
      <c r="Y256" s="93"/>
      <c r="Z256" s="245"/>
      <c r="AA256" s="245"/>
      <c r="AB256" s="245"/>
      <c r="AC256" s="245"/>
      <c r="AD256" s="245"/>
      <c r="AE256" s="245"/>
      <c r="AF256" s="245"/>
      <c r="AG256" s="245"/>
      <c r="AH256" s="245"/>
      <c r="AI256" s="245"/>
      <c r="AJ256" s="245"/>
      <c r="AK256" s="93"/>
    </row>
    <row r="257" spans="1:37" ht="15">
      <c r="A257" s="92"/>
      <c r="B257" s="245"/>
      <c r="C257" s="245"/>
      <c r="D257" s="245"/>
      <c r="E257" s="245"/>
      <c r="F257" s="245"/>
      <c r="G257" s="245"/>
      <c r="H257" s="245"/>
      <c r="I257" s="245"/>
      <c r="J257" s="245"/>
      <c r="K257" s="245"/>
      <c r="L257" s="245"/>
      <c r="M257" s="93"/>
      <c r="N257" s="93"/>
      <c r="O257" s="93"/>
      <c r="P257" s="93"/>
      <c r="Q257" s="93"/>
      <c r="R257" s="93"/>
      <c r="S257" s="93"/>
      <c r="T257" s="93"/>
      <c r="U257" s="93"/>
      <c r="V257" s="93"/>
      <c r="W257" s="93"/>
      <c r="X257" s="93"/>
      <c r="Y257" s="93"/>
      <c r="Z257" s="245"/>
      <c r="AA257" s="245"/>
      <c r="AB257" s="245"/>
      <c r="AC257" s="245"/>
      <c r="AD257" s="245"/>
      <c r="AE257" s="245"/>
      <c r="AF257" s="245"/>
      <c r="AG257" s="245"/>
      <c r="AH257" s="245"/>
      <c r="AI257" s="245"/>
      <c r="AJ257" s="245"/>
      <c r="AK257" s="93"/>
    </row>
    <row r="258" spans="1:37" ht="15">
      <c r="A258" s="16"/>
      <c r="B258" s="245"/>
      <c r="C258" s="245"/>
      <c r="D258" s="245"/>
      <c r="E258" s="245"/>
      <c r="F258" s="245"/>
      <c r="G258" s="245"/>
      <c r="H258" s="245"/>
      <c r="I258" s="245"/>
      <c r="J258" s="245"/>
      <c r="K258" s="245"/>
      <c r="L258" s="245"/>
      <c r="M258" s="93"/>
      <c r="N258" s="93"/>
      <c r="O258" s="93"/>
      <c r="P258" s="93"/>
      <c r="Q258" s="93"/>
      <c r="R258" s="93"/>
      <c r="S258" s="93"/>
      <c r="T258" s="93"/>
      <c r="U258" s="93"/>
      <c r="V258" s="93"/>
      <c r="W258" s="93"/>
      <c r="X258" s="93"/>
      <c r="Y258" s="93"/>
      <c r="Z258" s="245"/>
      <c r="AA258" s="245"/>
      <c r="AB258" s="245"/>
      <c r="AC258" s="245"/>
      <c r="AD258" s="245"/>
      <c r="AE258" s="245"/>
      <c r="AF258" s="245"/>
      <c r="AG258" s="245"/>
      <c r="AH258" s="245"/>
      <c r="AI258" s="245"/>
      <c r="AJ258" s="245"/>
      <c r="AK258" s="93"/>
    </row>
    <row r="259" spans="1:37" ht="15">
      <c r="A259" s="92"/>
      <c r="B259" s="245"/>
      <c r="C259" s="245"/>
      <c r="D259" s="245"/>
      <c r="E259" s="245"/>
      <c r="F259" s="245"/>
      <c r="G259" s="245"/>
      <c r="H259" s="245"/>
      <c r="I259" s="245"/>
      <c r="J259" s="245"/>
      <c r="K259" s="245"/>
      <c r="L259" s="245"/>
      <c r="M259" s="93"/>
      <c r="N259" s="93"/>
      <c r="O259" s="93"/>
      <c r="P259" s="93"/>
      <c r="Q259" s="93"/>
      <c r="R259" s="93"/>
      <c r="S259" s="93"/>
      <c r="T259" s="93"/>
      <c r="U259" s="93"/>
      <c r="V259" s="93"/>
      <c r="W259" s="93"/>
      <c r="X259" s="93"/>
      <c r="Y259" s="93"/>
      <c r="Z259" s="245"/>
      <c r="AA259" s="245"/>
      <c r="AB259" s="245"/>
      <c r="AC259" s="245"/>
      <c r="AD259" s="245"/>
      <c r="AE259" s="245"/>
      <c r="AF259" s="245"/>
      <c r="AG259" s="245"/>
      <c r="AH259" s="245"/>
      <c r="AI259" s="245"/>
      <c r="AJ259" s="245"/>
      <c r="AK259" s="93"/>
    </row>
    <row r="260" spans="1:37" ht="15">
      <c r="A260" s="92"/>
      <c r="B260" s="245"/>
      <c r="C260" s="245"/>
      <c r="D260" s="245"/>
      <c r="E260" s="245"/>
      <c r="F260" s="245"/>
      <c r="G260" s="245"/>
      <c r="H260" s="245"/>
      <c r="I260" s="245"/>
      <c r="J260" s="245"/>
      <c r="K260" s="245"/>
      <c r="L260" s="245"/>
      <c r="M260" s="93"/>
      <c r="N260" s="93"/>
      <c r="O260" s="93"/>
      <c r="P260" s="93"/>
      <c r="Q260" s="93"/>
      <c r="R260" s="93"/>
      <c r="S260" s="93"/>
      <c r="T260" s="93"/>
      <c r="U260" s="93"/>
      <c r="V260" s="93"/>
      <c r="W260" s="93"/>
      <c r="X260" s="93"/>
      <c r="Y260" s="93"/>
      <c r="Z260" s="245"/>
      <c r="AA260" s="245"/>
      <c r="AB260" s="245"/>
      <c r="AC260" s="245"/>
      <c r="AD260" s="245"/>
      <c r="AE260" s="245"/>
      <c r="AF260" s="245"/>
      <c r="AG260" s="245"/>
      <c r="AH260" s="245"/>
      <c r="AI260" s="245"/>
      <c r="AJ260" s="245"/>
      <c r="AK260" s="93"/>
    </row>
    <row r="261" spans="1:37" ht="15">
      <c r="A261" s="92"/>
      <c r="B261" s="245"/>
      <c r="C261" s="245"/>
      <c r="D261" s="245"/>
      <c r="E261" s="245"/>
      <c r="F261" s="245"/>
      <c r="G261" s="245"/>
      <c r="H261" s="245"/>
      <c r="I261" s="245"/>
      <c r="J261" s="245"/>
      <c r="K261" s="245"/>
      <c r="L261" s="245"/>
      <c r="M261" s="93"/>
      <c r="N261" s="93"/>
      <c r="O261" s="93"/>
      <c r="P261" s="93"/>
      <c r="Q261" s="93"/>
      <c r="R261" s="93"/>
      <c r="S261" s="93"/>
      <c r="T261" s="93"/>
      <c r="U261" s="93"/>
      <c r="V261" s="93"/>
      <c r="W261" s="93"/>
      <c r="X261" s="93"/>
      <c r="Y261" s="93"/>
      <c r="Z261" s="245"/>
      <c r="AA261" s="245"/>
      <c r="AB261" s="245"/>
      <c r="AC261" s="245"/>
      <c r="AD261" s="245"/>
      <c r="AE261" s="245"/>
      <c r="AF261" s="245"/>
      <c r="AG261" s="245"/>
      <c r="AH261" s="245"/>
      <c r="AI261" s="245"/>
      <c r="AJ261" s="245"/>
      <c r="AK261" s="93"/>
    </row>
    <row r="262" spans="1:37" ht="15">
      <c r="A262" s="92"/>
      <c r="B262" s="245"/>
      <c r="C262" s="245"/>
      <c r="D262" s="245"/>
      <c r="E262" s="245"/>
      <c r="F262" s="245"/>
      <c r="G262" s="245"/>
      <c r="H262" s="245"/>
      <c r="I262" s="245"/>
      <c r="J262" s="245"/>
      <c r="K262" s="245"/>
      <c r="L262" s="245"/>
      <c r="M262" s="93"/>
      <c r="N262" s="93"/>
      <c r="O262" s="93"/>
      <c r="P262" s="93"/>
      <c r="Q262" s="93"/>
      <c r="R262" s="93"/>
      <c r="S262" s="93"/>
      <c r="T262" s="93"/>
      <c r="U262" s="93"/>
      <c r="V262" s="93"/>
      <c r="W262" s="93"/>
      <c r="X262" s="93"/>
      <c r="Y262" s="93"/>
      <c r="Z262" s="245"/>
      <c r="AA262" s="245"/>
      <c r="AB262" s="245"/>
      <c r="AC262" s="245"/>
      <c r="AD262" s="245"/>
      <c r="AE262" s="245"/>
      <c r="AF262" s="245"/>
      <c r="AG262" s="245"/>
      <c r="AH262" s="245"/>
      <c r="AI262" s="245"/>
      <c r="AJ262" s="245"/>
      <c r="AK262" s="93"/>
    </row>
    <row r="263" spans="1:37" ht="15">
      <c r="A263" s="92"/>
      <c r="B263" s="245"/>
      <c r="C263" s="245"/>
      <c r="D263" s="245"/>
      <c r="E263" s="245"/>
      <c r="F263" s="245"/>
      <c r="G263" s="245"/>
      <c r="H263" s="245"/>
      <c r="I263" s="245"/>
      <c r="J263" s="245"/>
      <c r="K263" s="245"/>
      <c r="L263" s="245"/>
      <c r="M263" s="93"/>
      <c r="N263" s="93"/>
      <c r="O263" s="93"/>
      <c r="P263" s="93"/>
      <c r="Q263" s="93"/>
      <c r="R263" s="93"/>
      <c r="S263" s="93"/>
      <c r="T263" s="93"/>
      <c r="U263" s="93"/>
      <c r="V263" s="93"/>
      <c r="W263" s="93"/>
      <c r="X263" s="93"/>
      <c r="Y263" s="93"/>
      <c r="Z263" s="245"/>
      <c r="AA263" s="245"/>
      <c r="AB263" s="245"/>
      <c r="AC263" s="245"/>
      <c r="AD263" s="245"/>
      <c r="AE263" s="245"/>
      <c r="AF263" s="245"/>
      <c r="AG263" s="245"/>
      <c r="AH263" s="245"/>
      <c r="AI263" s="245"/>
      <c r="AJ263" s="245"/>
      <c r="AK263" s="93"/>
    </row>
    <row r="264" spans="1:37" ht="15">
      <c r="A264" s="16"/>
      <c r="B264" s="245"/>
      <c r="C264" s="245"/>
      <c r="D264" s="245"/>
      <c r="E264" s="245"/>
      <c r="F264" s="245"/>
      <c r="G264" s="245"/>
      <c r="H264" s="245"/>
      <c r="I264" s="245"/>
      <c r="J264" s="245"/>
      <c r="K264" s="245"/>
      <c r="L264" s="245"/>
      <c r="M264" s="93"/>
      <c r="N264" s="93"/>
      <c r="O264" s="93"/>
      <c r="P264" s="93"/>
      <c r="Q264" s="93"/>
      <c r="R264" s="93"/>
      <c r="S264" s="93"/>
      <c r="T264" s="93"/>
      <c r="U264" s="93"/>
      <c r="V264" s="93"/>
      <c r="W264" s="93"/>
      <c r="X264" s="93"/>
      <c r="Y264" s="93"/>
      <c r="Z264" s="245"/>
      <c r="AA264" s="245"/>
      <c r="AB264" s="245"/>
      <c r="AC264" s="245"/>
      <c r="AD264" s="245"/>
      <c r="AE264" s="245"/>
      <c r="AF264" s="245"/>
      <c r="AG264" s="245"/>
      <c r="AH264" s="245"/>
      <c r="AI264" s="245"/>
      <c r="AJ264" s="245"/>
      <c r="AK264" s="93"/>
    </row>
    <row r="265" spans="1:37" ht="15">
      <c r="A265" s="92"/>
      <c r="B265" s="245"/>
      <c r="C265" s="245"/>
      <c r="D265" s="245"/>
      <c r="E265" s="245"/>
      <c r="F265" s="245"/>
      <c r="G265" s="245"/>
      <c r="H265" s="245"/>
      <c r="I265" s="245"/>
      <c r="J265" s="245"/>
      <c r="K265" s="245"/>
      <c r="L265" s="245"/>
      <c r="M265" s="93"/>
      <c r="N265" s="93"/>
      <c r="O265" s="93"/>
      <c r="P265" s="93"/>
      <c r="Q265" s="93"/>
      <c r="R265" s="93"/>
      <c r="S265" s="93"/>
      <c r="T265" s="93"/>
      <c r="U265" s="93"/>
      <c r="V265" s="93"/>
      <c r="W265" s="93"/>
      <c r="X265" s="93"/>
      <c r="Y265" s="93"/>
      <c r="Z265" s="245"/>
      <c r="AA265" s="245"/>
      <c r="AB265" s="245"/>
      <c r="AC265" s="245"/>
      <c r="AD265" s="245"/>
      <c r="AE265" s="245"/>
      <c r="AF265" s="245"/>
      <c r="AG265" s="245"/>
      <c r="AH265" s="245"/>
      <c r="AI265" s="245"/>
      <c r="AJ265" s="245"/>
      <c r="AK265" s="93"/>
    </row>
    <row r="266" spans="1:37" ht="15">
      <c r="A266" s="280"/>
      <c r="B266" s="245"/>
      <c r="C266" s="245"/>
      <c r="D266" s="245"/>
      <c r="E266" s="245"/>
      <c r="F266" s="245"/>
      <c r="G266" s="245"/>
      <c r="H266" s="245"/>
      <c r="I266" s="245"/>
      <c r="J266" s="245"/>
      <c r="K266" s="245"/>
      <c r="L266" s="245"/>
      <c r="M266" s="93"/>
      <c r="N266" s="93"/>
      <c r="O266" s="93"/>
      <c r="P266" s="93"/>
      <c r="Q266" s="93"/>
      <c r="R266" s="93"/>
      <c r="S266" s="93"/>
      <c r="T266" s="93"/>
      <c r="U266" s="93"/>
      <c r="V266" s="93"/>
      <c r="W266" s="93"/>
      <c r="X266" s="93"/>
      <c r="Y266" s="93"/>
      <c r="Z266" s="245"/>
      <c r="AA266" s="245"/>
      <c r="AB266" s="245"/>
      <c r="AC266" s="245"/>
      <c r="AD266" s="245"/>
      <c r="AE266" s="245"/>
      <c r="AF266" s="245"/>
      <c r="AG266" s="245"/>
      <c r="AH266" s="245"/>
      <c r="AI266" s="245"/>
      <c r="AJ266" s="245"/>
      <c r="AK266" s="93"/>
    </row>
    <row r="267" spans="1:37" ht="15">
      <c r="A267" s="92"/>
      <c r="B267" s="245"/>
      <c r="C267" s="245"/>
      <c r="D267" s="245"/>
      <c r="E267" s="245"/>
      <c r="F267" s="245"/>
      <c r="G267" s="245"/>
      <c r="H267" s="245"/>
      <c r="I267" s="245"/>
      <c r="J267" s="245"/>
      <c r="K267" s="245"/>
      <c r="L267" s="245"/>
      <c r="M267" s="93"/>
      <c r="N267" s="93"/>
      <c r="O267" s="93"/>
      <c r="P267" s="93"/>
      <c r="Q267" s="93"/>
      <c r="R267" s="93"/>
      <c r="S267" s="93"/>
      <c r="T267" s="93"/>
      <c r="U267" s="93"/>
      <c r="V267" s="93"/>
      <c r="W267" s="93"/>
      <c r="X267" s="93"/>
      <c r="Y267" s="93"/>
      <c r="Z267" s="245"/>
      <c r="AA267" s="245"/>
      <c r="AB267" s="245"/>
      <c r="AC267" s="245"/>
      <c r="AD267" s="245"/>
      <c r="AE267" s="245"/>
      <c r="AF267" s="245"/>
      <c r="AG267" s="245"/>
      <c r="AH267" s="245"/>
      <c r="AI267" s="245"/>
      <c r="AJ267" s="245"/>
      <c r="AK267" s="93"/>
    </row>
    <row r="268" spans="1:37" ht="15">
      <c r="A268" s="92"/>
      <c r="B268" s="245"/>
      <c r="C268" s="245"/>
      <c r="D268" s="245"/>
      <c r="E268" s="245"/>
      <c r="F268" s="245"/>
      <c r="G268" s="245"/>
      <c r="H268" s="245"/>
      <c r="I268" s="245"/>
      <c r="J268" s="245"/>
      <c r="K268" s="245"/>
      <c r="L268" s="245"/>
      <c r="M268" s="93"/>
      <c r="N268" s="93"/>
      <c r="O268" s="93"/>
      <c r="P268" s="93"/>
      <c r="Q268" s="93"/>
      <c r="R268" s="93"/>
      <c r="S268" s="93"/>
      <c r="T268" s="93"/>
      <c r="U268" s="93"/>
      <c r="V268" s="93"/>
      <c r="W268" s="93"/>
      <c r="X268" s="93"/>
      <c r="Y268" s="93"/>
      <c r="Z268" s="245"/>
      <c r="AA268" s="245"/>
      <c r="AB268" s="245"/>
      <c r="AC268" s="245"/>
      <c r="AD268" s="245"/>
      <c r="AE268" s="245"/>
      <c r="AF268" s="245"/>
      <c r="AG268" s="245"/>
      <c r="AH268" s="245"/>
      <c r="AI268" s="245"/>
      <c r="AJ268" s="245"/>
      <c r="AK268" s="93"/>
    </row>
  </sheetData>
  <mergeCells count="18">
    <mergeCell ref="B1:L1"/>
    <mergeCell ref="AL1:AV1"/>
    <mergeCell ref="AX1:BI1"/>
    <mergeCell ref="BK1:BW1"/>
    <mergeCell ref="AX2:BI4"/>
    <mergeCell ref="BL4:BS4"/>
    <mergeCell ref="AX5:BI7"/>
    <mergeCell ref="BL5:BU5"/>
    <mergeCell ref="A8:L8"/>
    <mergeCell ref="AX8:BI8"/>
    <mergeCell ref="AL9:AV9"/>
    <mergeCell ref="AX9:BI9"/>
    <mergeCell ref="BK9:BZ9"/>
    <mergeCell ref="AL68:AV68"/>
    <mergeCell ref="AX68:BI68"/>
    <mergeCell ref="B9:L9"/>
    <mergeCell ref="N9:X9"/>
    <mergeCell ref="Z9:AJ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A189"/>
  <sheetViews>
    <sheetView tabSelected="1" zoomScale="75" zoomScaleNormal="75" workbookViewId="0" topLeftCell="A9">
      <pane xSplit="1" ySplit="3" topLeftCell="B12" activePane="bottomRight" state="frozen"/>
      <selection pane="topLeft" activeCell="A9" sqref="A9"/>
      <selection pane="topRight" activeCell="B9" sqref="B9"/>
      <selection pane="bottomLeft" activeCell="A12" sqref="A12"/>
      <selection pane="bottomRight" activeCell="R71" sqref="R71"/>
    </sheetView>
  </sheetViews>
  <sheetFormatPr defaultColWidth="9.140625" defaultRowHeight="12.75"/>
  <cols>
    <col min="1" max="1" width="26.7109375" style="0" customWidth="1"/>
    <col min="2" max="2" width="9.8515625" style="0" customWidth="1"/>
    <col min="9" max="9" width="10.28125" style="0" customWidth="1"/>
    <col min="13" max="13" width="1.8515625" style="0" customWidth="1"/>
    <col min="14" max="24" width="8.7109375" style="0" customWidth="1"/>
    <col min="25" max="25" width="1.8515625" style="0" customWidth="1"/>
    <col min="26" max="36" width="8.7109375" style="0" customWidth="1"/>
    <col min="37" max="37" width="1.8515625" style="0" customWidth="1"/>
    <col min="48" max="48" width="9.140625" style="0" customWidth="1"/>
    <col min="49" max="49" width="1.8515625" style="0" customWidth="1"/>
  </cols>
  <sheetData>
    <row r="1" spans="1:75" ht="95.25" customHeight="1">
      <c r="A1" s="225" t="s">
        <v>132</v>
      </c>
      <c r="B1" s="338" t="s">
        <v>93</v>
      </c>
      <c r="C1" s="338"/>
      <c r="D1" s="338"/>
      <c r="E1" s="338"/>
      <c r="F1" s="338"/>
      <c r="G1" s="338"/>
      <c r="H1" s="338"/>
      <c r="I1" s="338"/>
      <c r="J1" s="338"/>
      <c r="K1" s="338"/>
      <c r="L1" s="339"/>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340" t="s">
        <v>101</v>
      </c>
      <c r="AM1" s="340"/>
      <c r="AN1" s="340"/>
      <c r="AO1" s="340"/>
      <c r="AP1" s="340"/>
      <c r="AQ1" s="340"/>
      <c r="AR1" s="340"/>
      <c r="AS1" s="340"/>
      <c r="AT1" s="340"/>
      <c r="AU1" s="340"/>
      <c r="AV1" s="340"/>
      <c r="AW1" s="226"/>
      <c r="AX1" s="327" t="s">
        <v>99</v>
      </c>
      <c r="AY1" s="327"/>
      <c r="AZ1" s="327"/>
      <c r="BA1" s="327"/>
      <c r="BB1" s="327"/>
      <c r="BC1" s="327"/>
      <c r="BD1" s="327"/>
      <c r="BE1" s="327"/>
      <c r="BF1" s="327"/>
      <c r="BG1" s="327"/>
      <c r="BH1" s="327"/>
      <c r="BI1" s="327"/>
      <c r="BJ1" s="226"/>
      <c r="BK1" s="327" t="s">
        <v>133</v>
      </c>
      <c r="BL1" s="327"/>
      <c r="BM1" s="327"/>
      <c r="BN1" s="327"/>
      <c r="BO1" s="327"/>
      <c r="BP1" s="327"/>
      <c r="BQ1" s="327"/>
      <c r="BR1" s="327"/>
      <c r="BS1" s="327"/>
      <c r="BT1" s="327"/>
      <c r="BU1" s="327"/>
      <c r="BV1" s="327"/>
      <c r="BW1" s="327"/>
    </row>
    <row r="2" spans="2:76" ht="12.75">
      <c r="B2" s="90"/>
      <c r="C2" s="90"/>
      <c r="D2" s="90"/>
      <c r="E2" s="90"/>
      <c r="F2" s="90"/>
      <c r="G2" s="90"/>
      <c r="H2" s="90"/>
      <c r="I2" s="90"/>
      <c r="J2" s="90"/>
      <c r="K2" s="90"/>
      <c r="L2" s="91"/>
      <c r="M2" s="33"/>
      <c r="N2" s="33"/>
      <c r="O2" s="33"/>
      <c r="P2" s="33"/>
      <c r="Q2" s="33"/>
      <c r="R2" s="33"/>
      <c r="S2" s="33"/>
      <c r="T2" s="33"/>
      <c r="U2" s="33"/>
      <c r="V2" s="33"/>
      <c r="W2" s="33"/>
      <c r="X2" s="33"/>
      <c r="Y2" s="33"/>
      <c r="Z2" s="33"/>
      <c r="AA2" s="33"/>
      <c r="AB2" s="33"/>
      <c r="AC2" s="33"/>
      <c r="AD2" s="33"/>
      <c r="AE2" s="33"/>
      <c r="AF2" s="33"/>
      <c r="AG2" s="33"/>
      <c r="AH2" s="33"/>
      <c r="AI2" s="33"/>
      <c r="AJ2" s="33"/>
      <c r="AK2" s="33"/>
      <c r="AL2" s="32"/>
      <c r="AM2" s="32"/>
      <c r="AN2" s="32"/>
      <c r="AO2" s="32"/>
      <c r="AP2" s="32"/>
      <c r="AQ2" s="32"/>
      <c r="AR2" s="32"/>
      <c r="AS2" s="32"/>
      <c r="AT2" s="32"/>
      <c r="AU2" s="32"/>
      <c r="AV2" s="32"/>
      <c r="AW2" s="33"/>
      <c r="AX2" s="328" t="s">
        <v>103</v>
      </c>
      <c r="AY2" s="329"/>
      <c r="AZ2" s="329"/>
      <c r="BA2" s="329"/>
      <c r="BB2" s="329"/>
      <c r="BC2" s="329"/>
      <c r="BD2" s="329"/>
      <c r="BE2" s="329"/>
      <c r="BF2" s="329"/>
      <c r="BG2" s="329"/>
      <c r="BH2" s="329"/>
      <c r="BI2" s="329"/>
      <c r="BJ2" s="33"/>
      <c r="BX2" s="4" t="s">
        <v>104</v>
      </c>
    </row>
    <row r="3" spans="2:76" ht="12.75">
      <c r="B3" s="95"/>
      <c r="L3" s="1"/>
      <c r="M3" s="33"/>
      <c r="N3" s="33"/>
      <c r="O3" s="33"/>
      <c r="P3" s="33"/>
      <c r="Q3" s="33"/>
      <c r="R3" s="33"/>
      <c r="S3" s="33"/>
      <c r="T3" s="33"/>
      <c r="U3" s="33"/>
      <c r="V3" s="33"/>
      <c r="W3" s="33"/>
      <c r="X3" s="33"/>
      <c r="Y3" s="33"/>
      <c r="Z3" s="33"/>
      <c r="AA3" s="33"/>
      <c r="AB3" s="33"/>
      <c r="AC3" s="33"/>
      <c r="AD3" s="33"/>
      <c r="AE3" s="33"/>
      <c r="AF3" s="33"/>
      <c r="AG3" s="33"/>
      <c r="AH3" s="33"/>
      <c r="AI3" s="33"/>
      <c r="AJ3" s="33"/>
      <c r="AK3" s="33"/>
      <c r="AM3" s="95" t="s">
        <v>83</v>
      </c>
      <c r="AW3" s="33"/>
      <c r="AX3" s="329"/>
      <c r="AY3" s="329"/>
      <c r="AZ3" s="329"/>
      <c r="BA3" s="329"/>
      <c r="BB3" s="329"/>
      <c r="BC3" s="329"/>
      <c r="BD3" s="329"/>
      <c r="BE3" s="329"/>
      <c r="BF3" s="329"/>
      <c r="BG3" s="329"/>
      <c r="BH3" s="329"/>
      <c r="BI3" s="329"/>
      <c r="BJ3" s="33"/>
      <c r="BX3" s="4" t="s">
        <v>105</v>
      </c>
    </row>
    <row r="4" spans="1:74" ht="15.75">
      <c r="A4" t="s">
        <v>139</v>
      </c>
      <c r="B4" s="4">
        <v>25.6</v>
      </c>
      <c r="C4" s="4">
        <v>41</v>
      </c>
      <c r="D4" s="4">
        <v>42</v>
      </c>
      <c r="E4" s="4">
        <v>49</v>
      </c>
      <c r="F4" s="4"/>
      <c r="G4" s="4"/>
      <c r="H4" s="4"/>
      <c r="I4" s="4">
        <v>7</v>
      </c>
      <c r="L4" s="1"/>
      <c r="M4" s="33"/>
      <c r="N4" s="33"/>
      <c r="O4" s="33"/>
      <c r="P4" s="33"/>
      <c r="Q4" s="33"/>
      <c r="R4" s="33"/>
      <c r="S4" s="33"/>
      <c r="T4" s="33"/>
      <c r="U4" s="33"/>
      <c r="V4" s="33"/>
      <c r="W4" s="33"/>
      <c r="X4" s="33"/>
      <c r="Y4" s="33"/>
      <c r="Z4" s="33"/>
      <c r="AA4" s="33"/>
      <c r="AB4" s="33"/>
      <c r="AC4" s="33"/>
      <c r="AD4" s="33"/>
      <c r="AE4" s="33"/>
      <c r="AF4" s="33"/>
      <c r="AG4" s="33"/>
      <c r="AH4" s="33"/>
      <c r="AI4" s="33"/>
      <c r="AJ4" s="33"/>
      <c r="AK4" s="33"/>
      <c r="AL4" t="s">
        <v>10</v>
      </c>
      <c r="AM4" s="30">
        <v>0.45</v>
      </c>
      <c r="AN4" s="30"/>
      <c r="AO4" s="30">
        <v>0.5</v>
      </c>
      <c r="AP4" s="30">
        <v>0.53</v>
      </c>
      <c r="AQ4" s="30">
        <v>0.37</v>
      </c>
      <c r="AR4" s="30">
        <v>1</v>
      </c>
      <c r="AS4" s="30">
        <v>1</v>
      </c>
      <c r="AT4" s="30">
        <v>0.4</v>
      </c>
      <c r="AU4" s="31"/>
      <c r="AV4" s="31"/>
      <c r="AW4" s="33"/>
      <c r="AX4" s="329"/>
      <c r="AY4" s="329"/>
      <c r="AZ4" s="329"/>
      <c r="BA4" s="329"/>
      <c r="BB4" s="329"/>
      <c r="BC4" s="329"/>
      <c r="BD4" s="329"/>
      <c r="BE4" s="329"/>
      <c r="BF4" s="329"/>
      <c r="BG4" s="329"/>
      <c r="BH4" s="329"/>
      <c r="BI4" s="329"/>
      <c r="BJ4" s="33"/>
      <c r="BL4" s="331" t="s">
        <v>100</v>
      </c>
      <c r="BM4" s="332"/>
      <c r="BN4" s="332"/>
      <c r="BO4" s="332"/>
      <c r="BP4" s="332"/>
      <c r="BQ4" s="332"/>
      <c r="BR4" s="332"/>
      <c r="BS4" s="333"/>
      <c r="BT4" s="106" t="s">
        <v>108</v>
      </c>
      <c r="BU4" s="107"/>
      <c r="BV4" s="108"/>
    </row>
    <row r="5" spans="2:73" ht="15.75">
      <c r="B5" s="4"/>
      <c r="C5" s="4"/>
      <c r="D5" s="4"/>
      <c r="E5" s="4"/>
      <c r="F5" s="4"/>
      <c r="G5" s="4"/>
      <c r="H5" s="4"/>
      <c r="I5" s="4"/>
      <c r="L5" s="1"/>
      <c r="M5" s="33"/>
      <c r="N5" s="33"/>
      <c r="O5" s="33"/>
      <c r="P5" s="33"/>
      <c r="Q5" s="33"/>
      <c r="R5" s="33"/>
      <c r="S5" s="33"/>
      <c r="T5" s="33"/>
      <c r="U5" s="33"/>
      <c r="V5" s="33"/>
      <c r="W5" s="33"/>
      <c r="X5" s="33"/>
      <c r="Y5" s="33"/>
      <c r="Z5" s="33"/>
      <c r="AA5" s="33"/>
      <c r="AB5" s="33"/>
      <c r="AC5" s="33"/>
      <c r="AD5" s="33"/>
      <c r="AE5" s="33"/>
      <c r="AF5" s="33"/>
      <c r="AG5" s="33"/>
      <c r="AH5" s="33"/>
      <c r="AI5" s="33"/>
      <c r="AJ5" s="33"/>
      <c r="AK5" s="33"/>
      <c r="AL5" t="s">
        <v>79</v>
      </c>
      <c r="AM5" s="30">
        <v>0.35</v>
      </c>
      <c r="AN5" s="30"/>
      <c r="AO5" s="30">
        <v>0.4</v>
      </c>
      <c r="AP5" s="30">
        <v>0.5</v>
      </c>
      <c r="AQ5" s="30">
        <v>0.32</v>
      </c>
      <c r="AR5" s="30">
        <v>1</v>
      </c>
      <c r="AS5" s="30">
        <v>1</v>
      </c>
      <c r="AT5" s="30">
        <v>0.33</v>
      </c>
      <c r="AU5" s="31"/>
      <c r="AV5" s="31"/>
      <c r="AW5" s="33"/>
      <c r="AX5" s="330" t="s">
        <v>102</v>
      </c>
      <c r="AY5" s="330"/>
      <c r="AZ5" s="330"/>
      <c r="BA5" s="330"/>
      <c r="BB5" s="330"/>
      <c r="BC5" s="330"/>
      <c r="BD5" s="330"/>
      <c r="BE5" s="330"/>
      <c r="BF5" s="330"/>
      <c r="BG5" s="330"/>
      <c r="BH5" s="330"/>
      <c r="BI5" s="330"/>
      <c r="BJ5" s="33"/>
      <c r="BL5" s="334" t="s">
        <v>98</v>
      </c>
      <c r="BM5" s="335"/>
      <c r="BN5" s="335"/>
      <c r="BO5" s="335"/>
      <c r="BP5" s="335"/>
      <c r="BQ5" s="335"/>
      <c r="BR5" s="335"/>
      <c r="BS5" s="335"/>
      <c r="BT5" s="336"/>
      <c r="BU5" s="337"/>
    </row>
    <row r="6" spans="2:73" ht="12.75">
      <c r="B6" s="4"/>
      <c r="C6" s="4"/>
      <c r="D6" s="4"/>
      <c r="E6" s="4"/>
      <c r="F6" s="4"/>
      <c r="G6" s="4"/>
      <c r="H6" s="4"/>
      <c r="I6" s="4"/>
      <c r="J6" s="4"/>
      <c r="K6" s="4"/>
      <c r="L6" s="1"/>
      <c r="M6" s="33"/>
      <c r="N6" s="33"/>
      <c r="O6" s="33"/>
      <c r="P6" s="33"/>
      <c r="Q6" s="33"/>
      <c r="R6" s="33"/>
      <c r="S6" s="33"/>
      <c r="T6" s="33"/>
      <c r="U6" s="33"/>
      <c r="V6" s="33"/>
      <c r="W6" s="33"/>
      <c r="X6" s="33"/>
      <c r="Y6" s="33"/>
      <c r="Z6" s="33"/>
      <c r="AA6" s="33"/>
      <c r="AB6" s="33"/>
      <c r="AC6" s="33"/>
      <c r="AD6" s="33"/>
      <c r="AE6" s="33"/>
      <c r="AF6" s="33"/>
      <c r="AG6" s="33"/>
      <c r="AH6" s="33"/>
      <c r="AI6" s="33"/>
      <c r="AJ6" s="33"/>
      <c r="AK6" s="33"/>
      <c r="AL6" t="s">
        <v>80</v>
      </c>
      <c r="AM6" s="30">
        <v>0.55</v>
      </c>
      <c r="AN6" s="30"/>
      <c r="AO6" s="30">
        <v>0.5</v>
      </c>
      <c r="AP6" s="30">
        <v>0.4</v>
      </c>
      <c r="AQ6" s="30">
        <v>0.5</v>
      </c>
      <c r="AR6" s="30">
        <v>1</v>
      </c>
      <c r="AS6" s="30">
        <v>1</v>
      </c>
      <c r="AT6" s="30">
        <v>0.55</v>
      </c>
      <c r="AU6" s="30">
        <v>1</v>
      </c>
      <c r="AV6" s="30">
        <v>1</v>
      </c>
      <c r="AW6" s="33"/>
      <c r="AX6" s="330"/>
      <c r="AY6" s="330"/>
      <c r="AZ6" s="330"/>
      <c r="BA6" s="330"/>
      <c r="BB6" s="330"/>
      <c r="BC6" s="330"/>
      <c r="BD6" s="330"/>
      <c r="BE6" s="330"/>
      <c r="BF6" s="330"/>
      <c r="BG6" s="330"/>
      <c r="BH6" s="330"/>
      <c r="BI6" s="330"/>
      <c r="BJ6" s="33"/>
      <c r="BL6" s="23">
        <v>3.8579499999999998</v>
      </c>
      <c r="BM6" s="23">
        <v>3.1269699999999996</v>
      </c>
      <c r="BN6" s="23">
        <v>3.1269699999999996</v>
      </c>
      <c r="BO6" s="23">
        <v>2.2741599999999997</v>
      </c>
      <c r="BP6" s="23"/>
      <c r="BQ6" s="23"/>
      <c r="BR6" s="23"/>
      <c r="BS6" s="23">
        <v>4.79198</v>
      </c>
      <c r="BT6" s="4">
        <f>(AY22*BL6+BA22*BN6+BB22*BO6+BF22*BS6)/(-BG22)</f>
        <v>0.19586206299363992</v>
      </c>
      <c r="BU6" s="4"/>
    </row>
    <row r="7" spans="2:73" ht="12.75">
      <c r="B7" s="4"/>
      <c r="C7" s="4"/>
      <c r="D7" s="4"/>
      <c r="E7" s="4"/>
      <c r="F7" s="4"/>
      <c r="G7" s="4"/>
      <c r="H7" s="4"/>
      <c r="I7" s="4"/>
      <c r="J7" s="4"/>
      <c r="K7" s="4"/>
      <c r="L7" s="1"/>
      <c r="M7" s="33"/>
      <c r="N7" s="33"/>
      <c r="O7" s="33"/>
      <c r="P7" s="33"/>
      <c r="Q7" s="33"/>
      <c r="R7" s="33"/>
      <c r="S7" s="33"/>
      <c r="T7" s="33"/>
      <c r="U7" s="33"/>
      <c r="V7" s="33"/>
      <c r="W7" s="33"/>
      <c r="X7" s="33"/>
      <c r="Y7" s="33"/>
      <c r="Z7" s="33"/>
      <c r="AA7" s="33"/>
      <c r="AB7" s="33"/>
      <c r="AC7" s="33"/>
      <c r="AD7" s="33"/>
      <c r="AE7" s="33"/>
      <c r="AF7" s="33"/>
      <c r="AG7" s="33"/>
      <c r="AH7" s="33"/>
      <c r="AI7" s="33"/>
      <c r="AJ7" s="33"/>
      <c r="AK7" s="33"/>
      <c r="AL7" t="s">
        <v>12</v>
      </c>
      <c r="AM7" s="30">
        <v>1</v>
      </c>
      <c r="AN7" s="30"/>
      <c r="AO7" s="30">
        <v>1</v>
      </c>
      <c r="AP7" s="30">
        <v>1</v>
      </c>
      <c r="AQ7" s="30"/>
      <c r="AR7" s="30">
        <v>1</v>
      </c>
      <c r="AS7" s="30">
        <v>1</v>
      </c>
      <c r="AT7" s="30">
        <v>1</v>
      </c>
      <c r="AU7" s="30">
        <v>1</v>
      </c>
      <c r="AV7" s="30">
        <v>1</v>
      </c>
      <c r="AW7" s="33"/>
      <c r="AX7" s="330"/>
      <c r="AY7" s="330"/>
      <c r="AZ7" s="330"/>
      <c r="BA7" s="330"/>
      <c r="BB7" s="330"/>
      <c r="BC7" s="330"/>
      <c r="BD7" s="330"/>
      <c r="BE7" s="330"/>
      <c r="BF7" s="330"/>
      <c r="BG7" s="330"/>
      <c r="BH7" s="330"/>
      <c r="BI7" s="330"/>
      <c r="BJ7" s="33"/>
      <c r="BS7" s="23">
        <v>4.79198</v>
      </c>
      <c r="BT7" s="4" t="e">
        <f>(AY23*BL6+BA23*BN6+BB23*BO6+BF23*BS6)/(-BG23-BH23)</f>
        <v>#DIV/0!</v>
      </c>
      <c r="BU7" s="4" t="e">
        <f>(AY23*BL6+AZ23*BM6+BA23*BN6+BB23*BO6+BF23*BS6)/(-BH23-BG23)</f>
        <v>#DIV/0!</v>
      </c>
    </row>
    <row r="8" spans="1:73" ht="19.5" thickBot="1">
      <c r="A8" s="341" t="s">
        <v>109</v>
      </c>
      <c r="B8" s="341"/>
      <c r="C8" s="341"/>
      <c r="D8" s="341"/>
      <c r="E8" s="341"/>
      <c r="F8" s="341"/>
      <c r="G8" s="341"/>
      <c r="H8" s="341"/>
      <c r="I8" s="341"/>
      <c r="J8" s="341"/>
      <c r="K8" s="341"/>
      <c r="L8" s="342"/>
      <c r="M8" s="33"/>
      <c r="N8" s="69"/>
      <c r="O8" s="69"/>
      <c r="P8" s="69"/>
      <c r="Q8" s="69"/>
      <c r="R8" s="69"/>
      <c r="S8" s="69"/>
      <c r="T8" s="69"/>
      <c r="U8" s="69"/>
      <c r="V8" s="69"/>
      <c r="W8" s="69"/>
      <c r="X8" s="69"/>
      <c r="Y8" s="33"/>
      <c r="Z8" s="69"/>
      <c r="AA8" s="69"/>
      <c r="AB8" s="69"/>
      <c r="AC8" s="69"/>
      <c r="AD8" s="69"/>
      <c r="AE8" s="69"/>
      <c r="AF8" s="69"/>
      <c r="AG8" s="69"/>
      <c r="AH8" s="69"/>
      <c r="AI8" s="69"/>
      <c r="AJ8" s="69"/>
      <c r="AK8" s="33"/>
      <c r="AL8" s="32"/>
      <c r="AM8" s="32"/>
      <c r="AN8" s="32"/>
      <c r="AO8" s="32"/>
      <c r="AP8" s="32"/>
      <c r="AQ8" s="32"/>
      <c r="AR8" s="32"/>
      <c r="AS8" s="32"/>
      <c r="AT8" s="32"/>
      <c r="AU8" s="32"/>
      <c r="AV8" s="32"/>
      <c r="AW8" s="33"/>
      <c r="AX8" s="352" t="s">
        <v>117</v>
      </c>
      <c r="AY8" s="352"/>
      <c r="AZ8" s="352"/>
      <c r="BA8" s="352"/>
      <c r="BB8" s="352"/>
      <c r="BC8" s="352"/>
      <c r="BD8" s="352"/>
      <c r="BE8" s="352"/>
      <c r="BF8" s="352"/>
      <c r="BG8" s="352"/>
      <c r="BH8" s="352"/>
      <c r="BI8" s="353"/>
      <c r="BJ8" s="33"/>
      <c r="BK8" s="154"/>
      <c r="BL8" s="155" t="s">
        <v>124</v>
      </c>
      <c r="BM8" s="156">
        <f>100*(BD19+BE19+BF19)/BI19</f>
        <v>49.93477056736873</v>
      </c>
      <c r="BN8" s="154" t="s">
        <v>125</v>
      </c>
      <c r="BO8" s="224" t="s">
        <v>126</v>
      </c>
      <c r="BQ8" s="156">
        <f>100*(BC19+BD19+BE19)/BI19</f>
        <v>0</v>
      </c>
      <c r="BR8" s="154" t="s">
        <v>125</v>
      </c>
      <c r="BS8" s="154"/>
      <c r="BT8" s="4"/>
      <c r="BU8" s="4" t="e">
        <f>(AY24*BL6+AZ24*BM6+BA24*BN6+BB24*BO6+BF24*BS6)/(-BH24)</f>
        <v>#DIV/0!</v>
      </c>
    </row>
    <row r="9" spans="1:78" ht="19.5" thickBot="1">
      <c r="A9" s="69"/>
      <c r="B9" s="343" t="s">
        <v>457</v>
      </c>
      <c r="C9" s="344"/>
      <c r="D9" s="344"/>
      <c r="E9" s="344"/>
      <c r="F9" s="344"/>
      <c r="G9" s="344"/>
      <c r="H9" s="344"/>
      <c r="I9" s="344"/>
      <c r="J9" s="344"/>
      <c r="K9" s="344"/>
      <c r="L9" s="345"/>
      <c r="M9" s="33"/>
      <c r="N9" s="343" t="s">
        <v>458</v>
      </c>
      <c r="O9" s="344"/>
      <c r="P9" s="344"/>
      <c r="Q9" s="344"/>
      <c r="R9" s="344"/>
      <c r="S9" s="344"/>
      <c r="T9" s="344"/>
      <c r="U9" s="344"/>
      <c r="V9" s="344"/>
      <c r="W9" s="344"/>
      <c r="X9" s="345"/>
      <c r="Y9" s="33"/>
      <c r="Z9" s="343" t="s">
        <v>459</v>
      </c>
      <c r="AA9" s="344"/>
      <c r="AB9" s="344"/>
      <c r="AC9" s="344"/>
      <c r="AD9" s="344"/>
      <c r="AE9" s="344"/>
      <c r="AF9" s="344"/>
      <c r="AG9" s="344"/>
      <c r="AH9" s="344"/>
      <c r="AI9" s="344"/>
      <c r="AJ9" s="345"/>
      <c r="AK9" s="33"/>
      <c r="AL9" s="346" t="s">
        <v>113</v>
      </c>
      <c r="AM9" s="347"/>
      <c r="AN9" s="347"/>
      <c r="AO9" s="347"/>
      <c r="AP9" s="347"/>
      <c r="AQ9" s="347"/>
      <c r="AR9" s="347"/>
      <c r="AS9" s="347"/>
      <c r="AT9" s="347"/>
      <c r="AU9" s="347"/>
      <c r="AV9" s="347"/>
      <c r="AW9" s="48"/>
      <c r="AX9" s="346" t="s">
        <v>77</v>
      </c>
      <c r="AY9" s="347"/>
      <c r="AZ9" s="347"/>
      <c r="BA9" s="347"/>
      <c r="BB9" s="347"/>
      <c r="BC9" s="347"/>
      <c r="BD9" s="347"/>
      <c r="BE9" s="347"/>
      <c r="BF9" s="347"/>
      <c r="BG9" s="347"/>
      <c r="BH9" s="347"/>
      <c r="BI9" s="348"/>
      <c r="BJ9" s="33"/>
      <c r="BK9" s="346" t="s">
        <v>85</v>
      </c>
      <c r="BL9" s="347"/>
      <c r="BM9" s="347"/>
      <c r="BN9" s="347"/>
      <c r="BO9" s="347"/>
      <c r="BP9" s="347"/>
      <c r="BQ9" s="347"/>
      <c r="BR9" s="347"/>
      <c r="BS9" s="347"/>
      <c r="BT9" s="347"/>
      <c r="BU9" s="347"/>
      <c r="BV9" s="347"/>
      <c r="BW9" s="347"/>
      <c r="BX9" s="347"/>
      <c r="BY9" s="347"/>
      <c r="BZ9" s="348"/>
    </row>
    <row r="10" spans="1:78" ht="12.75">
      <c r="A10" s="56" t="s">
        <v>0</v>
      </c>
      <c r="B10" s="57" t="s">
        <v>60</v>
      </c>
      <c r="C10" s="57" t="s">
        <v>61</v>
      </c>
      <c r="D10" s="58" t="s">
        <v>70</v>
      </c>
      <c r="E10" s="57" t="s">
        <v>62</v>
      </c>
      <c r="F10" s="57" t="s">
        <v>63</v>
      </c>
      <c r="G10" s="57" t="s">
        <v>64</v>
      </c>
      <c r="H10" s="58" t="s">
        <v>65</v>
      </c>
      <c r="I10" s="58" t="s">
        <v>66</v>
      </c>
      <c r="J10" s="58" t="s">
        <v>67</v>
      </c>
      <c r="K10" s="57" t="s">
        <v>68</v>
      </c>
      <c r="L10" s="59" t="s">
        <v>69</v>
      </c>
      <c r="M10" s="33"/>
      <c r="N10" s="57" t="s">
        <v>60</v>
      </c>
      <c r="O10" s="57" t="s">
        <v>61</v>
      </c>
      <c r="P10" s="58" t="s">
        <v>70</v>
      </c>
      <c r="Q10" s="57" t="s">
        <v>62</v>
      </c>
      <c r="R10" s="57" t="s">
        <v>63</v>
      </c>
      <c r="S10" s="57" t="s">
        <v>64</v>
      </c>
      <c r="T10" s="58" t="s">
        <v>65</v>
      </c>
      <c r="U10" s="58" t="s">
        <v>66</v>
      </c>
      <c r="V10" s="58" t="s">
        <v>67</v>
      </c>
      <c r="W10" s="57" t="s">
        <v>68</v>
      </c>
      <c r="X10" s="59" t="s">
        <v>69</v>
      </c>
      <c r="Y10" s="33"/>
      <c r="Z10" s="57" t="s">
        <v>60</v>
      </c>
      <c r="AA10" s="57" t="s">
        <v>61</v>
      </c>
      <c r="AB10" s="58" t="s">
        <v>70</v>
      </c>
      <c r="AC10" s="57" t="s">
        <v>62</v>
      </c>
      <c r="AD10" s="57" t="s">
        <v>63</v>
      </c>
      <c r="AE10" s="57" t="s">
        <v>64</v>
      </c>
      <c r="AF10" s="58" t="s">
        <v>65</v>
      </c>
      <c r="AG10" s="58" t="s">
        <v>66</v>
      </c>
      <c r="AH10" s="58" t="s">
        <v>67</v>
      </c>
      <c r="AI10" s="57" t="s">
        <v>68</v>
      </c>
      <c r="AJ10" s="59" t="s">
        <v>69</v>
      </c>
      <c r="AK10" s="33"/>
      <c r="AL10" s="101" t="s">
        <v>91</v>
      </c>
      <c r="AM10" s="102" t="s">
        <v>60</v>
      </c>
      <c r="AN10" s="102" t="s">
        <v>61</v>
      </c>
      <c r="AO10" s="100" t="s">
        <v>70</v>
      </c>
      <c r="AP10" s="102" t="s">
        <v>62</v>
      </c>
      <c r="AQ10" s="102" t="s">
        <v>63</v>
      </c>
      <c r="AR10" s="102" t="s">
        <v>64</v>
      </c>
      <c r="AS10" s="100" t="s">
        <v>65</v>
      </c>
      <c r="AT10" s="100" t="s">
        <v>94</v>
      </c>
      <c r="AU10" s="100" t="s">
        <v>67</v>
      </c>
      <c r="AV10" s="102" t="s">
        <v>68</v>
      </c>
      <c r="AW10" s="34" t="s">
        <v>69</v>
      </c>
      <c r="AX10" s="101" t="s">
        <v>91</v>
      </c>
      <c r="AY10" s="125" t="s">
        <v>60</v>
      </c>
      <c r="AZ10" s="125" t="s">
        <v>61</v>
      </c>
      <c r="BA10" s="132" t="s">
        <v>70</v>
      </c>
      <c r="BB10" s="125" t="s">
        <v>62</v>
      </c>
      <c r="BC10" s="125" t="s">
        <v>63</v>
      </c>
      <c r="BD10" s="125" t="s">
        <v>64</v>
      </c>
      <c r="BE10" s="132" t="s">
        <v>65</v>
      </c>
      <c r="BF10" s="132" t="s">
        <v>94</v>
      </c>
      <c r="BG10" s="132" t="s">
        <v>67</v>
      </c>
      <c r="BH10" s="125" t="s">
        <v>68</v>
      </c>
      <c r="BI10" s="129" t="s">
        <v>69</v>
      </c>
      <c r="BJ10" s="33"/>
      <c r="BK10" s="25" t="s">
        <v>0</v>
      </c>
      <c r="BL10" s="18" t="s">
        <v>60</v>
      </c>
      <c r="BM10" s="18" t="s">
        <v>61</v>
      </c>
      <c r="BN10" s="20" t="s">
        <v>70</v>
      </c>
      <c r="BO10" s="18" t="s">
        <v>62</v>
      </c>
      <c r="BP10" s="184" t="s">
        <v>63</v>
      </c>
      <c r="BQ10" s="184" t="s">
        <v>64</v>
      </c>
      <c r="BR10" s="185" t="s">
        <v>65</v>
      </c>
      <c r="BS10" s="20" t="s">
        <v>94</v>
      </c>
      <c r="BT10" s="20" t="s">
        <v>67</v>
      </c>
      <c r="BU10" s="18" t="s">
        <v>68</v>
      </c>
      <c r="BV10" s="18" t="s">
        <v>69</v>
      </c>
      <c r="BW10" s="20" t="s">
        <v>69</v>
      </c>
      <c r="BX10" s="178"/>
      <c r="BY10" s="18" t="s">
        <v>69</v>
      </c>
      <c r="BZ10" s="179"/>
    </row>
    <row r="11" spans="1:78" ht="13.5" thickBot="1">
      <c r="A11" s="60" t="s">
        <v>1</v>
      </c>
      <c r="B11" s="61" t="s">
        <v>59</v>
      </c>
      <c r="C11" s="61" t="s">
        <v>71</v>
      </c>
      <c r="D11" s="62" t="s">
        <v>72</v>
      </c>
      <c r="E11" s="61"/>
      <c r="F11" s="61"/>
      <c r="G11" s="61"/>
      <c r="H11" s="62" t="s">
        <v>74</v>
      </c>
      <c r="I11" s="62" t="s">
        <v>73</v>
      </c>
      <c r="J11" s="62"/>
      <c r="K11" s="61"/>
      <c r="L11" s="63"/>
      <c r="M11" s="33"/>
      <c r="N11" s="61" t="s">
        <v>59</v>
      </c>
      <c r="O11" s="61" t="s">
        <v>71</v>
      </c>
      <c r="P11" s="62" t="s">
        <v>72</v>
      </c>
      <c r="Q11" s="61"/>
      <c r="R11" s="61"/>
      <c r="S11" s="61"/>
      <c r="T11" s="62" t="s">
        <v>74</v>
      </c>
      <c r="U11" s="62" t="s">
        <v>73</v>
      </c>
      <c r="V11" s="62"/>
      <c r="W11" s="61"/>
      <c r="X11" s="63"/>
      <c r="Y11" s="33"/>
      <c r="Z11" s="61" t="s">
        <v>59</v>
      </c>
      <c r="AA11" s="61" t="s">
        <v>71</v>
      </c>
      <c r="AB11" s="62" t="s">
        <v>72</v>
      </c>
      <c r="AC11" s="61"/>
      <c r="AD11" s="61"/>
      <c r="AE11" s="61"/>
      <c r="AF11" s="62" t="s">
        <v>74</v>
      </c>
      <c r="AG11" s="62" t="s">
        <v>73</v>
      </c>
      <c r="AH11" s="62"/>
      <c r="AI11" s="61"/>
      <c r="AJ11" s="63"/>
      <c r="AK11" s="33"/>
      <c r="AL11" s="2" t="s">
        <v>92</v>
      </c>
      <c r="AM11" s="19" t="s">
        <v>59</v>
      </c>
      <c r="AN11" s="19" t="s">
        <v>71</v>
      </c>
      <c r="AO11" s="21" t="s">
        <v>72</v>
      </c>
      <c r="AP11" s="19"/>
      <c r="AQ11" s="19"/>
      <c r="AR11" s="19"/>
      <c r="AS11" s="21" t="s">
        <v>74</v>
      </c>
      <c r="AT11" s="103" t="s">
        <v>95</v>
      </c>
      <c r="AU11" s="21"/>
      <c r="AV11" s="19"/>
      <c r="AW11" s="35"/>
      <c r="AX11" s="2" t="s">
        <v>92</v>
      </c>
      <c r="AY11" s="126" t="s">
        <v>59</v>
      </c>
      <c r="AZ11" s="126" t="s">
        <v>71</v>
      </c>
      <c r="BA11" s="133" t="s">
        <v>72</v>
      </c>
      <c r="BB11" s="126"/>
      <c r="BC11" s="126"/>
      <c r="BD11" s="126"/>
      <c r="BE11" s="133" t="s">
        <v>74</v>
      </c>
      <c r="BF11" s="134" t="s">
        <v>95</v>
      </c>
      <c r="BG11" s="133"/>
      <c r="BH11" s="126"/>
      <c r="BI11" s="130"/>
      <c r="BJ11" s="33"/>
      <c r="BK11" s="26" t="s">
        <v>1</v>
      </c>
      <c r="BL11" s="19" t="s">
        <v>59</v>
      </c>
      <c r="BM11" s="19" t="s">
        <v>71</v>
      </c>
      <c r="BN11" s="21" t="s">
        <v>72</v>
      </c>
      <c r="BO11" s="19"/>
      <c r="BP11" s="186"/>
      <c r="BQ11" s="186"/>
      <c r="BR11" s="174" t="s">
        <v>74</v>
      </c>
      <c r="BS11" s="174" t="s">
        <v>95</v>
      </c>
      <c r="BT11" s="21"/>
      <c r="BU11" s="19"/>
      <c r="BV11" s="19"/>
      <c r="BW11" s="182"/>
      <c r="BX11" s="180"/>
      <c r="BY11" s="19" t="s">
        <v>81</v>
      </c>
      <c r="BZ11" s="181"/>
    </row>
    <row r="12" spans="1:62" ht="12.75">
      <c r="A12" s="64" t="s">
        <v>2</v>
      </c>
      <c r="B12" s="65"/>
      <c r="C12" s="65"/>
      <c r="D12" s="65"/>
      <c r="E12" s="65"/>
      <c r="F12" s="65"/>
      <c r="G12" s="65"/>
      <c r="H12" s="65"/>
      <c r="I12" s="65"/>
      <c r="J12" s="65"/>
      <c r="K12" s="65"/>
      <c r="L12" s="71"/>
      <c r="M12" s="33"/>
      <c r="N12" s="69"/>
      <c r="O12" s="69"/>
      <c r="P12" s="69"/>
      <c r="Q12" s="69"/>
      <c r="R12" s="69"/>
      <c r="S12" s="69"/>
      <c r="T12" s="69"/>
      <c r="U12" s="69"/>
      <c r="V12" s="69"/>
      <c r="W12" s="69"/>
      <c r="X12" s="69"/>
      <c r="Y12" s="33"/>
      <c r="Z12" s="69"/>
      <c r="AA12" s="69"/>
      <c r="AB12" s="69"/>
      <c r="AC12" s="69"/>
      <c r="AD12" s="69"/>
      <c r="AE12" s="69"/>
      <c r="AF12" s="69"/>
      <c r="AG12" s="69"/>
      <c r="AH12" s="69"/>
      <c r="AI12" s="69"/>
      <c r="AJ12" s="69"/>
      <c r="AK12" s="33"/>
      <c r="AL12" s="3" t="s">
        <v>2</v>
      </c>
      <c r="AM12" s="30"/>
      <c r="AN12" s="30"/>
      <c r="AO12" s="30"/>
      <c r="AP12" s="30"/>
      <c r="AQ12" s="30"/>
      <c r="AR12" s="30"/>
      <c r="AS12" s="30"/>
      <c r="AT12" s="30"/>
      <c r="AU12" s="30"/>
      <c r="AV12" s="30"/>
      <c r="AW12" s="36"/>
      <c r="AX12" s="3" t="s">
        <v>2</v>
      </c>
      <c r="AY12" s="209"/>
      <c r="AZ12" s="209"/>
      <c r="BA12" s="209"/>
      <c r="BB12" s="209"/>
      <c r="BC12" s="209"/>
      <c r="BD12" s="209"/>
      <c r="BE12" s="209"/>
      <c r="BF12" s="209"/>
      <c r="BG12" s="209"/>
      <c r="BH12" s="209"/>
      <c r="BI12" s="215"/>
      <c r="BJ12" s="33"/>
    </row>
    <row r="13" spans="1:78" ht="18.75">
      <c r="A13" s="64" t="s">
        <v>5</v>
      </c>
      <c r="B13" s="65"/>
      <c r="C13" s="65"/>
      <c r="D13" s="65"/>
      <c r="E13" s="65"/>
      <c r="F13" s="65"/>
      <c r="G13" s="65"/>
      <c r="H13" s="65"/>
      <c r="I13" s="65"/>
      <c r="J13" s="65"/>
      <c r="K13" s="65"/>
      <c r="L13" s="71"/>
      <c r="M13" s="33"/>
      <c r="N13" s="69"/>
      <c r="O13" s="69"/>
      <c r="P13" s="69"/>
      <c r="Q13" s="69"/>
      <c r="R13" s="69"/>
      <c r="S13" s="69"/>
      <c r="T13" s="69"/>
      <c r="U13" s="69"/>
      <c r="V13" s="69"/>
      <c r="W13" s="69"/>
      <c r="X13" s="69"/>
      <c r="Y13" s="33"/>
      <c r="Z13" s="69"/>
      <c r="AA13" s="69"/>
      <c r="AB13" s="69"/>
      <c r="AC13" s="69"/>
      <c r="AD13" s="69"/>
      <c r="AE13" s="69"/>
      <c r="AF13" s="69"/>
      <c r="AG13" s="69"/>
      <c r="AH13" s="69"/>
      <c r="AI13" s="69"/>
      <c r="AJ13" s="69"/>
      <c r="AK13" s="33"/>
      <c r="AL13" s="3" t="s">
        <v>5</v>
      </c>
      <c r="AM13" s="30"/>
      <c r="AN13" s="30"/>
      <c r="AO13" s="30"/>
      <c r="AP13" s="30"/>
      <c r="AQ13" s="30"/>
      <c r="AR13" s="30"/>
      <c r="AS13" s="30"/>
      <c r="AT13" s="30"/>
      <c r="AU13" s="30"/>
      <c r="AV13" s="30"/>
      <c r="AW13" s="36"/>
      <c r="AX13" s="3" t="s">
        <v>5</v>
      </c>
      <c r="AY13" s="209"/>
      <c r="AZ13" s="209"/>
      <c r="BA13" s="209"/>
      <c r="BB13" s="209"/>
      <c r="BC13" s="209"/>
      <c r="BD13" s="209"/>
      <c r="BE13" s="209"/>
      <c r="BF13" s="209"/>
      <c r="BG13" s="209"/>
      <c r="BH13" s="209"/>
      <c r="BI13" s="215"/>
      <c r="BJ13" s="33"/>
      <c r="BK13" s="104" t="s">
        <v>106</v>
      </c>
      <c r="BL13" s="105"/>
      <c r="BM13" s="105"/>
      <c r="BN13" s="105"/>
      <c r="BO13" s="105"/>
      <c r="BP13" s="105"/>
      <c r="BQ13" s="105"/>
      <c r="BR13" s="105"/>
      <c r="BS13" s="105"/>
      <c r="BT13" s="105"/>
      <c r="BU13" s="105"/>
      <c r="BV13" s="105"/>
      <c r="BW13" s="105"/>
      <c r="BX13" s="171"/>
      <c r="BY13" s="171"/>
      <c r="BZ13" s="171"/>
    </row>
    <row r="14" spans="1:77" ht="17.25" thickBot="1">
      <c r="A14" s="64" t="s">
        <v>6</v>
      </c>
      <c r="B14" s="65"/>
      <c r="C14" s="65"/>
      <c r="D14" s="65"/>
      <c r="E14" s="65"/>
      <c r="F14" s="65"/>
      <c r="G14" s="65"/>
      <c r="H14" s="65"/>
      <c r="I14" s="65"/>
      <c r="J14" s="65"/>
      <c r="K14" s="65"/>
      <c r="L14" s="71"/>
      <c r="M14" s="33"/>
      <c r="N14" s="69"/>
      <c r="O14" s="69"/>
      <c r="P14" s="69"/>
      <c r="Q14" s="69"/>
      <c r="R14" s="69"/>
      <c r="S14" s="69"/>
      <c r="T14" s="69"/>
      <c r="U14" s="69"/>
      <c r="V14" s="69"/>
      <c r="W14" s="69"/>
      <c r="X14" s="69"/>
      <c r="Y14" s="33"/>
      <c r="Z14" s="69"/>
      <c r="AA14" s="69"/>
      <c r="AB14" s="69"/>
      <c r="AC14" s="69"/>
      <c r="AD14" s="69"/>
      <c r="AE14" s="69"/>
      <c r="AF14" s="69"/>
      <c r="AG14" s="69"/>
      <c r="AH14" s="69"/>
      <c r="AI14" s="69"/>
      <c r="AJ14" s="69"/>
      <c r="AK14" s="33"/>
      <c r="AL14" s="3" t="s">
        <v>6</v>
      </c>
      <c r="AM14" s="30"/>
      <c r="AN14" s="30"/>
      <c r="AO14" s="30"/>
      <c r="AP14" s="30"/>
      <c r="AQ14" s="30"/>
      <c r="AR14" s="30"/>
      <c r="AS14" s="30"/>
      <c r="AT14" s="30"/>
      <c r="AU14" s="30"/>
      <c r="AV14" s="30"/>
      <c r="AW14" s="36"/>
      <c r="AX14" s="3" t="s">
        <v>6</v>
      </c>
      <c r="AY14" s="209"/>
      <c r="AZ14" s="209"/>
      <c r="BA14" s="209"/>
      <c r="BB14" s="209"/>
      <c r="BC14" s="209"/>
      <c r="BD14" s="209"/>
      <c r="BE14" s="209"/>
      <c r="BF14" s="209"/>
      <c r="BG14" s="209"/>
      <c r="BH14" s="209"/>
      <c r="BI14" s="215"/>
      <c r="BJ14" s="33"/>
      <c r="BK14" s="29" t="s">
        <v>107</v>
      </c>
      <c r="BL14" s="136">
        <f>B18*BL6</f>
        <v>0</v>
      </c>
      <c r="BM14" s="136">
        <f>C18*BM6</f>
        <v>0</v>
      </c>
      <c r="BN14" s="136">
        <f>D18*BN6</f>
        <v>0</v>
      </c>
      <c r="BO14" s="136">
        <f>E18*BO6</f>
        <v>0</v>
      </c>
      <c r="BP14" s="136"/>
      <c r="BQ14" s="137"/>
      <c r="BR14" s="137"/>
      <c r="BS14" s="136">
        <f>I18*BS6</f>
        <v>0</v>
      </c>
      <c r="BT14" s="137"/>
      <c r="BU14" s="137"/>
      <c r="BW14" s="138">
        <f>SUM(BL14:BS14)</f>
        <v>0</v>
      </c>
      <c r="BY14" s="138">
        <f>SUM(BL14:BO14)</f>
        <v>0</v>
      </c>
    </row>
    <row r="15" spans="1:78" ht="16.5">
      <c r="A15" s="64" t="s">
        <v>3</v>
      </c>
      <c r="B15" s="65"/>
      <c r="C15" s="65"/>
      <c r="D15" s="377"/>
      <c r="E15" s="65"/>
      <c r="F15" s="65"/>
      <c r="G15" s="65"/>
      <c r="H15" s="65"/>
      <c r="I15" s="65"/>
      <c r="J15" s="65"/>
      <c r="K15" s="65"/>
      <c r="L15" s="71"/>
      <c r="M15" s="33"/>
      <c r="N15" s="69"/>
      <c r="O15" s="69"/>
      <c r="P15" s="69"/>
      <c r="Q15" s="69"/>
      <c r="R15" s="69"/>
      <c r="S15" s="69"/>
      <c r="T15" s="69"/>
      <c r="U15" s="69"/>
      <c r="V15" s="69"/>
      <c r="W15" s="69"/>
      <c r="X15" s="69"/>
      <c r="Y15" s="33"/>
      <c r="Z15" s="69"/>
      <c r="AA15" s="69"/>
      <c r="AB15" s="69"/>
      <c r="AC15" s="69"/>
      <c r="AD15" s="69"/>
      <c r="AE15" s="69"/>
      <c r="AF15" s="69"/>
      <c r="AG15" s="69"/>
      <c r="AH15" s="69"/>
      <c r="AI15" s="69"/>
      <c r="AJ15" s="69"/>
      <c r="AK15" s="33"/>
      <c r="AL15" s="3" t="s">
        <v>3</v>
      </c>
      <c r="AM15" s="30"/>
      <c r="AN15" s="30"/>
      <c r="AO15" s="30"/>
      <c r="AP15" s="30"/>
      <c r="AQ15" s="30"/>
      <c r="AR15" s="30"/>
      <c r="AS15" s="30"/>
      <c r="AT15" s="30"/>
      <c r="AU15" s="30"/>
      <c r="AV15" s="30"/>
      <c r="AW15" s="36"/>
      <c r="AX15" s="3" t="s">
        <v>3</v>
      </c>
      <c r="AY15" s="209"/>
      <c r="AZ15" s="209"/>
      <c r="BA15" s="209"/>
      <c r="BB15" s="209"/>
      <c r="BC15" s="209"/>
      <c r="BD15" s="209"/>
      <c r="BE15" s="209"/>
      <c r="BF15" s="209"/>
      <c r="BG15" s="209"/>
      <c r="BH15" s="209"/>
      <c r="BI15" s="215"/>
      <c r="BJ15" s="33"/>
      <c r="BK15" s="28" t="s">
        <v>114</v>
      </c>
      <c r="BL15" s="139"/>
      <c r="BM15" s="139"/>
      <c r="BN15" s="139"/>
      <c r="BO15" s="139"/>
      <c r="BP15" s="139"/>
      <c r="BQ15" s="140"/>
      <c r="BR15" s="140"/>
      <c r="BS15" s="140"/>
      <c r="BT15" s="140"/>
      <c r="BU15" s="140"/>
      <c r="BV15" s="140"/>
      <c r="BW15" s="172"/>
      <c r="BX15" s="172"/>
      <c r="BY15" s="141">
        <f>0.8*BY14</f>
        <v>0</v>
      </c>
      <c r="BZ15" s="172"/>
    </row>
    <row r="16" spans="1:78" ht="16.5">
      <c r="A16" s="64" t="s">
        <v>128</v>
      </c>
      <c r="B16" s="65"/>
      <c r="C16" s="65"/>
      <c r="D16" s="377"/>
      <c r="E16" s="65"/>
      <c r="F16" s="65"/>
      <c r="G16" s="65"/>
      <c r="H16" s="65"/>
      <c r="I16" s="65"/>
      <c r="J16" s="65"/>
      <c r="K16" s="65"/>
      <c r="L16" s="71"/>
      <c r="M16" s="33"/>
      <c r="N16" s="69"/>
      <c r="O16" s="69"/>
      <c r="P16" s="69"/>
      <c r="Q16" s="69"/>
      <c r="R16" s="69"/>
      <c r="S16" s="69"/>
      <c r="T16" s="69"/>
      <c r="U16" s="69"/>
      <c r="V16" s="69"/>
      <c r="W16" s="69"/>
      <c r="X16" s="69"/>
      <c r="Y16" s="33"/>
      <c r="Z16" s="69"/>
      <c r="AA16" s="69"/>
      <c r="AB16" s="69"/>
      <c r="AC16" s="69"/>
      <c r="AD16" s="69"/>
      <c r="AE16" s="69"/>
      <c r="AF16" s="69"/>
      <c r="AG16" s="69"/>
      <c r="AH16" s="69"/>
      <c r="AI16" s="69"/>
      <c r="AJ16" s="69"/>
      <c r="AK16" s="33"/>
      <c r="AL16" s="3" t="s">
        <v>4</v>
      </c>
      <c r="AM16" s="30"/>
      <c r="AN16" s="30"/>
      <c r="AO16" s="30"/>
      <c r="AP16" s="30"/>
      <c r="AQ16" s="30"/>
      <c r="AR16" s="30"/>
      <c r="AS16" s="30"/>
      <c r="AT16" s="30"/>
      <c r="AU16" s="30"/>
      <c r="AV16" s="30"/>
      <c r="AW16" s="36"/>
      <c r="AX16" s="3" t="s">
        <v>4</v>
      </c>
      <c r="AY16" s="209"/>
      <c r="AZ16" s="209"/>
      <c r="BA16" s="209"/>
      <c r="BB16" s="209"/>
      <c r="BC16" s="209"/>
      <c r="BD16" s="209"/>
      <c r="BE16" s="209"/>
      <c r="BF16" s="209"/>
      <c r="BG16" s="209"/>
      <c r="BH16" s="209"/>
      <c r="BI16" s="215"/>
      <c r="BJ16" s="33"/>
      <c r="BK16" s="175" t="s">
        <v>84</v>
      </c>
      <c r="BL16" s="176">
        <f>AY18*BL$6</f>
        <v>0</v>
      </c>
      <c r="BM16" s="176">
        <f>AZ18*BM$6</f>
        <v>0</v>
      </c>
      <c r="BN16" s="176">
        <f>BA18*BN$6</f>
        <v>0</v>
      </c>
      <c r="BO16" s="176">
        <f>BB18*BO$6</f>
        <v>0</v>
      </c>
      <c r="BP16" s="176"/>
      <c r="BQ16" s="176"/>
      <c r="BR16" s="176"/>
      <c r="BS16" s="176">
        <f>BF18*BS$6</f>
        <v>0</v>
      </c>
      <c r="BT16" s="176"/>
      <c r="BU16" s="176"/>
      <c r="BW16" s="177">
        <f>SUM(BL16:BS16)</f>
        <v>0</v>
      </c>
      <c r="BX16" s="124"/>
      <c r="BY16" s="177">
        <f>SUM(BL16:BO16)</f>
        <v>0</v>
      </c>
      <c r="BZ16" s="124"/>
    </row>
    <row r="17" spans="1:78" ht="15.75" thickBot="1">
      <c r="A17" s="64" t="s">
        <v>7</v>
      </c>
      <c r="B17" s="65"/>
      <c r="C17" s="65"/>
      <c r="D17" s="65"/>
      <c r="E17" s="65"/>
      <c r="F17" s="65"/>
      <c r="G17" s="65"/>
      <c r="H17" s="65"/>
      <c r="I17" s="65"/>
      <c r="J17" s="65"/>
      <c r="K17" s="65"/>
      <c r="L17" s="71"/>
      <c r="M17" s="33"/>
      <c r="N17" s="69"/>
      <c r="O17" s="69"/>
      <c r="P17" s="69"/>
      <c r="Q17" s="69"/>
      <c r="R17" s="69"/>
      <c r="S17" s="69"/>
      <c r="T17" s="69"/>
      <c r="U17" s="69"/>
      <c r="V17" s="69"/>
      <c r="W17" s="69"/>
      <c r="X17" s="69"/>
      <c r="Y17" s="33"/>
      <c r="Z17" s="69"/>
      <c r="AA17" s="69"/>
      <c r="AB17" s="69"/>
      <c r="AC17" s="69"/>
      <c r="AD17" s="69"/>
      <c r="AE17" s="69"/>
      <c r="AF17" s="69"/>
      <c r="AG17" s="69"/>
      <c r="AH17" s="69"/>
      <c r="AI17" s="69"/>
      <c r="AJ17" s="69"/>
      <c r="AK17" s="33"/>
      <c r="AL17" s="3" t="s">
        <v>7</v>
      </c>
      <c r="AM17" s="30"/>
      <c r="AN17" s="30"/>
      <c r="AO17" s="30"/>
      <c r="AP17" s="30"/>
      <c r="AQ17" s="30"/>
      <c r="AR17" s="30"/>
      <c r="AS17" s="30"/>
      <c r="AT17" s="30"/>
      <c r="AU17" s="30"/>
      <c r="AV17" s="30"/>
      <c r="AW17" s="36"/>
      <c r="AX17" s="3" t="s">
        <v>7</v>
      </c>
      <c r="AY17" s="209"/>
      <c r="AZ17" s="209"/>
      <c r="BA17" s="209"/>
      <c r="BB17" s="209"/>
      <c r="BC17" s="209"/>
      <c r="BD17" s="209"/>
      <c r="BE17" s="209"/>
      <c r="BF17" s="209"/>
      <c r="BG17" s="209"/>
      <c r="BH17" s="209"/>
      <c r="BI17" s="215"/>
      <c r="BJ17" s="33"/>
      <c r="BK17" s="27" t="s">
        <v>82</v>
      </c>
      <c r="BL17" s="142"/>
      <c r="BM17" s="142"/>
      <c r="BN17" s="142"/>
      <c r="BO17" s="142"/>
      <c r="BP17" s="142"/>
      <c r="BQ17" s="142"/>
      <c r="BR17" s="142"/>
      <c r="BS17" s="142"/>
      <c r="BT17" s="142"/>
      <c r="BU17" s="142"/>
      <c r="BV17" s="142"/>
      <c r="BW17" s="143">
        <f>BY16-BY15</f>
        <v>0</v>
      </c>
      <c r="BX17" s="173"/>
      <c r="BY17" s="173"/>
      <c r="BZ17" s="173"/>
    </row>
    <row r="18" spans="1:79" ht="15.75" thickBot="1">
      <c r="A18" s="66" t="s">
        <v>8</v>
      </c>
      <c r="B18" s="67"/>
      <c r="C18" s="67"/>
      <c r="D18" s="376"/>
      <c r="E18" s="67"/>
      <c r="F18" s="67"/>
      <c r="G18" s="67"/>
      <c r="H18" s="67"/>
      <c r="I18" s="67"/>
      <c r="J18" s="67"/>
      <c r="K18" s="67"/>
      <c r="L18" s="68"/>
      <c r="M18" s="38"/>
      <c r="N18" s="67"/>
      <c r="O18" s="67"/>
      <c r="P18" s="376"/>
      <c r="Q18" s="67"/>
      <c r="R18" s="67"/>
      <c r="S18" s="67"/>
      <c r="T18" s="67"/>
      <c r="U18" s="67"/>
      <c r="V18" s="67"/>
      <c r="W18" s="67"/>
      <c r="X18" s="68"/>
      <c r="Y18" s="38"/>
      <c r="Z18" s="67"/>
      <c r="AA18" s="67"/>
      <c r="AB18" s="376"/>
      <c r="AC18" s="67"/>
      <c r="AD18" s="67"/>
      <c r="AE18" s="67"/>
      <c r="AF18" s="67"/>
      <c r="AG18" s="67"/>
      <c r="AH18" s="67"/>
      <c r="AI18" s="67"/>
      <c r="AJ18" s="68"/>
      <c r="AK18" s="38"/>
      <c r="AL18" s="12" t="s">
        <v>75</v>
      </c>
      <c r="AM18" s="13"/>
      <c r="AN18" s="13"/>
      <c r="AO18" s="13"/>
      <c r="AP18" s="13"/>
      <c r="AQ18" s="13"/>
      <c r="AR18" s="13"/>
      <c r="AS18" s="13"/>
      <c r="AT18" s="13"/>
      <c r="AU18" s="13"/>
      <c r="AV18" s="13"/>
      <c r="AW18" s="37"/>
      <c r="AX18" s="12" t="s">
        <v>75</v>
      </c>
      <c r="AY18" s="128">
        <f>SUM(AY12:AY17)</f>
        <v>0</v>
      </c>
      <c r="AZ18" s="128">
        <f aca="true" t="shared" si="0" ref="AZ18:BI18">SUM(AZ12:AZ17)</f>
        <v>0</v>
      </c>
      <c r="BA18" s="128">
        <f t="shared" si="0"/>
        <v>0</v>
      </c>
      <c r="BB18" s="128">
        <f t="shared" si="0"/>
        <v>0</v>
      </c>
      <c r="BC18" s="128">
        <f t="shared" si="0"/>
        <v>0</v>
      </c>
      <c r="BD18" s="128">
        <f t="shared" si="0"/>
        <v>0</v>
      </c>
      <c r="BE18" s="128">
        <f t="shared" si="0"/>
        <v>0</v>
      </c>
      <c r="BF18" s="128">
        <f t="shared" si="0"/>
        <v>0</v>
      </c>
      <c r="BG18" s="128">
        <f t="shared" si="0"/>
        <v>0</v>
      </c>
      <c r="BH18" s="128">
        <f t="shared" si="0"/>
        <v>0</v>
      </c>
      <c r="BI18" s="131">
        <f t="shared" si="0"/>
        <v>0</v>
      </c>
      <c r="BJ18" s="38"/>
      <c r="BK18" s="14"/>
      <c r="BL18" s="144"/>
      <c r="BM18" s="144"/>
      <c r="BN18" s="144"/>
      <c r="BO18" s="144"/>
      <c r="BP18" s="144"/>
      <c r="BQ18" s="144"/>
      <c r="BR18" s="144"/>
      <c r="BS18" s="144"/>
      <c r="BT18" s="144"/>
      <c r="BU18" s="144"/>
      <c r="BV18" s="144"/>
      <c r="BW18" s="144"/>
      <c r="BX18" s="14"/>
      <c r="BY18" s="14"/>
      <c r="BZ18" s="14"/>
      <c r="CA18" s="14"/>
    </row>
    <row r="19" spans="1:79" ht="15.75" thickBot="1">
      <c r="A19" s="117" t="s">
        <v>136</v>
      </c>
      <c r="B19" s="118"/>
      <c r="C19" s="118"/>
      <c r="D19" s="118"/>
      <c r="E19" s="118"/>
      <c r="F19" s="118"/>
      <c r="G19" s="118"/>
      <c r="H19" s="118"/>
      <c r="I19" s="118"/>
      <c r="J19" s="118"/>
      <c r="K19" s="118"/>
      <c r="L19" s="118"/>
      <c r="M19" s="38"/>
      <c r="N19" s="118"/>
      <c r="O19" s="118"/>
      <c r="P19" s="118"/>
      <c r="Q19" s="118"/>
      <c r="R19" s="118"/>
      <c r="S19" s="118"/>
      <c r="T19" s="118"/>
      <c r="U19" s="118"/>
      <c r="V19" s="118"/>
      <c r="W19" s="118"/>
      <c r="X19" s="118"/>
      <c r="Y19" s="38"/>
      <c r="Z19" s="118"/>
      <c r="AA19" s="118"/>
      <c r="AB19" s="118"/>
      <c r="AC19" s="118"/>
      <c r="AD19" s="118"/>
      <c r="AE19" s="118"/>
      <c r="AF19" s="118"/>
      <c r="AG19" s="118"/>
      <c r="AH19" s="118"/>
      <c r="AI19" s="118"/>
      <c r="AJ19" s="118"/>
      <c r="AK19" s="38"/>
      <c r="AL19" s="12" t="s">
        <v>90</v>
      </c>
      <c r="AM19" s="51"/>
      <c r="AN19" s="51"/>
      <c r="AO19" s="51"/>
      <c r="AP19" s="51"/>
      <c r="AQ19" s="51"/>
      <c r="AR19" s="51"/>
      <c r="AS19" s="51"/>
      <c r="AT19" s="51"/>
      <c r="AU19" s="51"/>
      <c r="AV19" s="52"/>
      <c r="AW19" s="38"/>
      <c r="AX19" s="12" t="s">
        <v>90</v>
      </c>
      <c r="AY19" s="128">
        <f>AY33-SUM(AY20:AY31)</f>
        <v>21713.8514453125</v>
      </c>
      <c r="AZ19" s="128">
        <f aca="true" t="shared" si="1" ref="AZ19:BI19">AZ33-SUM(AZ20:AZ31)</f>
        <v>-2.7159999999999855</v>
      </c>
      <c r="BA19" s="128">
        <f t="shared" si="1"/>
        <v>1062.9466714285713</v>
      </c>
      <c r="BB19" s="128">
        <f t="shared" si="1"/>
        <v>0</v>
      </c>
      <c r="BC19" s="128">
        <f t="shared" si="1"/>
        <v>0</v>
      </c>
      <c r="BD19" s="128">
        <f t="shared" si="1"/>
        <v>0</v>
      </c>
      <c r="BE19" s="128">
        <f t="shared" si="1"/>
        <v>0</v>
      </c>
      <c r="BF19" s="128">
        <f t="shared" si="1"/>
        <v>29198.267142857145</v>
      </c>
      <c r="BG19" s="128">
        <f t="shared" si="1"/>
        <v>6500.467999999999</v>
      </c>
      <c r="BH19" s="128">
        <f t="shared" si="1"/>
        <v>0</v>
      </c>
      <c r="BI19" s="216">
        <f t="shared" si="1"/>
        <v>58472.8172595982</v>
      </c>
      <c r="BJ19" s="38"/>
      <c r="BK19" s="12" t="s">
        <v>90</v>
      </c>
      <c r="BL19" s="145">
        <f aca="true" t="shared" si="2" ref="BL19:BV19">BL33-SUM(BL20:BL31)</f>
        <v>83770.95318344336</v>
      </c>
      <c r="BM19" s="145">
        <f t="shared" si="2"/>
        <v>-8.492850519999953</v>
      </c>
      <c r="BN19" s="145">
        <f t="shared" si="2"/>
        <v>3323.802353157</v>
      </c>
      <c r="BO19" s="145">
        <f t="shared" si="2"/>
        <v>0</v>
      </c>
      <c r="BP19" s="145">
        <f t="shared" si="2"/>
        <v>0</v>
      </c>
      <c r="BQ19" s="145">
        <f t="shared" si="2"/>
        <v>0</v>
      </c>
      <c r="BR19" s="145">
        <f t="shared" si="2"/>
        <v>0</v>
      </c>
      <c r="BS19" s="145">
        <f t="shared" si="2"/>
        <v>139917.51218322854</v>
      </c>
      <c r="BT19" s="146"/>
      <c r="BU19" s="146"/>
      <c r="BV19" s="147" t="e">
        <f t="shared" si="2"/>
        <v>#DIV/0!</v>
      </c>
      <c r="BW19" s="148" t="s">
        <v>112</v>
      </c>
      <c r="BX19" s="24"/>
      <c r="BY19" s="170" t="s">
        <v>127</v>
      </c>
      <c r="BZ19" s="24"/>
      <c r="CA19" s="24"/>
    </row>
    <row r="20" spans="1:78" ht="12.75">
      <c r="A20" s="64" t="s">
        <v>9</v>
      </c>
      <c r="B20" s="65"/>
      <c r="C20" s="65"/>
      <c r="D20" s="69"/>
      <c r="E20" s="65"/>
      <c r="F20" s="65"/>
      <c r="G20" s="65"/>
      <c r="H20" s="65"/>
      <c r="I20" s="65"/>
      <c r="J20" s="65"/>
      <c r="K20" s="65"/>
      <c r="L20" s="71"/>
      <c r="M20" s="33"/>
      <c r="N20" s="65"/>
      <c r="O20" s="65"/>
      <c r="P20" s="69"/>
      <c r="Q20" s="65"/>
      <c r="R20" s="65"/>
      <c r="S20" s="65"/>
      <c r="T20" s="65"/>
      <c r="U20" s="65"/>
      <c r="V20" s="65"/>
      <c r="W20" s="65"/>
      <c r="X20" s="71"/>
      <c r="Y20" s="33"/>
      <c r="Z20" s="69"/>
      <c r="AA20" s="69"/>
      <c r="AB20" s="69"/>
      <c r="AC20" s="69"/>
      <c r="AD20" s="69"/>
      <c r="AE20" s="69"/>
      <c r="AF20" s="69"/>
      <c r="AG20" s="69"/>
      <c r="AH20" s="69"/>
      <c r="AI20" s="69"/>
      <c r="AJ20" s="69"/>
      <c r="AK20" s="33"/>
      <c r="AL20" s="3" t="s">
        <v>9</v>
      </c>
      <c r="AM20" s="30">
        <f>Mtoe!O20</f>
        <v>1</v>
      </c>
      <c r="AN20" s="30">
        <f>Mtoe!P20</f>
        <v>1</v>
      </c>
      <c r="AO20" s="30">
        <f>Mtoe!Q20</f>
        <v>1</v>
      </c>
      <c r="AP20" s="30">
        <f>Mtoe!R20</f>
        <v>1</v>
      </c>
      <c r="AQ20" s="30">
        <f>Mtoe!S20</f>
        <v>1</v>
      </c>
      <c r="AR20" s="30">
        <f>Mtoe!T20</f>
        <v>1</v>
      </c>
      <c r="AS20" s="30">
        <f>Mtoe!U20</f>
        <v>1</v>
      </c>
      <c r="AT20" s="30">
        <f>Mtoe!V20</f>
        <v>1</v>
      </c>
      <c r="AU20" s="30">
        <f>Mtoe!W20</f>
        <v>1</v>
      </c>
      <c r="AV20" s="30">
        <f>Mtoe!X20</f>
        <v>1</v>
      </c>
      <c r="AW20" s="33"/>
      <c r="AX20" s="3" t="s">
        <v>9</v>
      </c>
      <c r="AY20" s="209"/>
      <c r="AZ20" s="209"/>
      <c r="BA20" s="209"/>
      <c r="BB20" s="209"/>
      <c r="BC20" s="209"/>
      <c r="BD20" s="209"/>
      <c r="BE20" s="209"/>
      <c r="BF20" s="209"/>
      <c r="BG20" s="209"/>
      <c r="BH20" s="209"/>
      <c r="BI20" s="215"/>
      <c r="BJ20" s="33"/>
      <c r="BK20" s="115" t="s">
        <v>9</v>
      </c>
      <c r="BL20" s="157">
        <f aca="true" t="shared" si="3" ref="BL20:BM31">AY20*BL$6</f>
        <v>0</v>
      </c>
      <c r="BM20" s="157">
        <f>AZ20*BM$6</f>
        <v>0</v>
      </c>
      <c r="BN20" s="157">
        <f aca="true" t="shared" si="4" ref="BN20:BS31">BA20*BN$6</f>
        <v>0</v>
      </c>
      <c r="BO20" s="157">
        <f t="shared" si="4"/>
        <v>0</v>
      </c>
      <c r="BP20" s="157">
        <f t="shared" si="4"/>
        <v>0</v>
      </c>
      <c r="BQ20" s="157">
        <f t="shared" si="4"/>
        <v>0</v>
      </c>
      <c r="BR20" s="157">
        <f t="shared" si="4"/>
        <v>0</v>
      </c>
      <c r="BS20" s="157">
        <f t="shared" si="4"/>
        <v>0</v>
      </c>
      <c r="BT20" s="157"/>
      <c r="BU20" s="157"/>
      <c r="BV20" s="158">
        <f>SUM(BL20:BU20)</f>
        <v>0</v>
      </c>
      <c r="BW20" s="4" t="e">
        <f>-100*BV20/BV$19</f>
        <v>#DIV/0!</v>
      </c>
      <c r="BX20" s="4" t="s">
        <v>110</v>
      </c>
      <c r="BY20" s="4">
        <v>-0.15452204743726436</v>
      </c>
      <c r="BZ20" t="s">
        <v>110</v>
      </c>
    </row>
    <row r="21" spans="1:78" ht="12.75">
      <c r="A21" s="64" t="s">
        <v>13</v>
      </c>
      <c r="B21" s="65"/>
      <c r="C21" s="65"/>
      <c r="D21" s="65"/>
      <c r="E21" s="65"/>
      <c r="F21" s="65"/>
      <c r="G21" s="65"/>
      <c r="H21" s="65"/>
      <c r="I21" s="65"/>
      <c r="J21" s="65"/>
      <c r="K21" s="65"/>
      <c r="L21" s="71"/>
      <c r="M21" s="33"/>
      <c r="N21" s="65"/>
      <c r="O21" s="65"/>
      <c r="P21" s="65"/>
      <c r="Q21" s="65"/>
      <c r="R21" s="65"/>
      <c r="S21" s="65"/>
      <c r="T21" s="65"/>
      <c r="U21" s="65"/>
      <c r="V21" s="65"/>
      <c r="W21" s="65"/>
      <c r="X21" s="71"/>
      <c r="Y21" s="33"/>
      <c r="Z21" s="69"/>
      <c r="AA21" s="69"/>
      <c r="AB21" s="69"/>
      <c r="AC21" s="69"/>
      <c r="AD21" s="69"/>
      <c r="AE21" s="69"/>
      <c r="AF21" s="69"/>
      <c r="AG21" s="69"/>
      <c r="AH21" s="69"/>
      <c r="AI21" s="69"/>
      <c r="AJ21" s="69"/>
      <c r="AK21" s="33"/>
      <c r="AL21" s="3" t="s">
        <v>13</v>
      </c>
      <c r="AM21" s="30">
        <f>Mtoe!O21</f>
        <v>1</v>
      </c>
      <c r="AN21" s="30">
        <f>Mtoe!P21</f>
        <v>1</v>
      </c>
      <c r="AO21" s="30">
        <f>Mtoe!Q21</f>
        <v>1</v>
      </c>
      <c r="AP21" s="30">
        <f>Mtoe!R21</f>
        <v>1</v>
      </c>
      <c r="AQ21" s="30">
        <f>Mtoe!S21</f>
        <v>1</v>
      </c>
      <c r="AR21" s="30">
        <f>Mtoe!T21</f>
        <v>1</v>
      </c>
      <c r="AS21" s="30">
        <f>Mtoe!U21</f>
        <v>1</v>
      </c>
      <c r="AT21" s="30">
        <f>Mtoe!V21</f>
        <v>1</v>
      </c>
      <c r="AU21" s="30">
        <f>Mtoe!W21</f>
        <v>1</v>
      </c>
      <c r="AV21" s="30">
        <f>Mtoe!X21</f>
        <v>1</v>
      </c>
      <c r="AW21" s="39"/>
      <c r="AX21" s="3" t="s">
        <v>13</v>
      </c>
      <c r="AY21" s="209"/>
      <c r="AZ21" s="209"/>
      <c r="BA21" s="209"/>
      <c r="BB21" s="209"/>
      <c r="BC21" s="209"/>
      <c r="BD21" s="209"/>
      <c r="BE21" s="209"/>
      <c r="BF21" s="209"/>
      <c r="BG21" s="209"/>
      <c r="BH21" s="209"/>
      <c r="BI21" s="215"/>
      <c r="BJ21" s="33"/>
      <c r="BK21" s="110" t="s">
        <v>13</v>
      </c>
      <c r="BL21" s="157">
        <f t="shared" si="3"/>
        <v>0</v>
      </c>
      <c r="BM21" s="157">
        <f t="shared" si="3"/>
        <v>0</v>
      </c>
      <c r="BN21" s="157">
        <f t="shared" si="4"/>
        <v>0</v>
      </c>
      <c r="BO21" s="157">
        <f t="shared" si="4"/>
        <v>0</v>
      </c>
      <c r="BP21" s="157">
        <f t="shared" si="4"/>
        <v>0</v>
      </c>
      <c r="BQ21" s="157">
        <f t="shared" si="4"/>
        <v>0</v>
      </c>
      <c r="BR21" s="157">
        <f t="shared" si="4"/>
        <v>0</v>
      </c>
      <c r="BS21" s="157">
        <f t="shared" si="4"/>
        <v>0</v>
      </c>
      <c r="BT21" s="157"/>
      <c r="BU21" s="157"/>
      <c r="BV21" s="158">
        <f>SUM(BL21:BU21)</f>
        <v>0</v>
      </c>
      <c r="BW21" s="4" t="e">
        <f aca="true" t="shared" si="5" ref="BW21:BW31">-100*BV21/BV$19</f>
        <v>#DIV/0!</v>
      </c>
      <c r="BX21" s="4" t="s">
        <v>110</v>
      </c>
      <c r="BY21" s="4">
        <v>-0.04165828494648961</v>
      </c>
      <c r="BZ21" t="s">
        <v>110</v>
      </c>
    </row>
    <row r="22" spans="1:79" ht="14.25">
      <c r="A22" s="64" t="s">
        <v>10</v>
      </c>
      <c r="B22" s="65">
        <f>PMemission!B22*(B80)</f>
        <v>198.44480468749995</v>
      </c>
      <c r="C22" s="65"/>
      <c r="D22" s="65">
        <f>PMemission!D22*(D80)</f>
        <v>18.133714285714287</v>
      </c>
      <c r="E22" s="65"/>
      <c r="F22" s="65"/>
      <c r="G22" s="65"/>
      <c r="H22" s="65"/>
      <c r="I22" s="65">
        <f>PMemission!I22*(I80)</f>
        <v>94.095</v>
      </c>
      <c r="J22" s="65"/>
      <c r="K22" s="120"/>
      <c r="L22" s="71"/>
      <c r="M22" s="33"/>
      <c r="N22" s="72">
        <f>PMemission!N22*(N80)</f>
        <v>1266.8574584960936</v>
      </c>
      <c r="O22" s="65"/>
      <c r="P22" s="72">
        <f>PMemission!P22*(P80)</f>
        <v>1534.7544642857144</v>
      </c>
      <c r="Q22" s="65"/>
      <c r="R22" s="65"/>
      <c r="S22" s="65"/>
      <c r="T22" s="65"/>
      <c r="U22" s="65">
        <f>PMemission!U22*(U80)</f>
        <v>424.734375</v>
      </c>
      <c r="V22" s="65"/>
      <c r="W22" s="120"/>
      <c r="X22" s="71"/>
      <c r="Y22" s="33"/>
      <c r="Z22" s="65">
        <f>PMemission!Z22*(Z80)</f>
        <v>2.3011299999999997</v>
      </c>
      <c r="AA22" s="65"/>
      <c r="AB22" s="65">
        <f>PMemission!AB22*(AB80)</f>
        <v>6.966</v>
      </c>
      <c r="AC22" s="69"/>
      <c r="AD22" s="69"/>
      <c r="AE22" s="69"/>
      <c r="AF22" s="69"/>
      <c r="AG22" s="69"/>
      <c r="AH22" s="69"/>
      <c r="AI22" s="69"/>
      <c r="AJ22" s="69"/>
      <c r="AK22" s="33"/>
      <c r="AL22" s="3" t="s">
        <v>10</v>
      </c>
      <c r="AM22" s="30">
        <f>Mtoe!O22</f>
        <v>1</v>
      </c>
      <c r="AN22" s="30">
        <f>Mtoe!P22</f>
        <v>1</v>
      </c>
      <c r="AO22" s="30">
        <f>Mtoe!Q22</f>
        <v>1</v>
      </c>
      <c r="AP22" s="30">
        <f>Mtoe!R22</f>
        <v>1</v>
      </c>
      <c r="AQ22" s="30">
        <f>Mtoe!S22</f>
        <v>1</v>
      </c>
      <c r="AR22" s="30">
        <f>Mtoe!T22</f>
        <v>1</v>
      </c>
      <c r="AS22" s="30">
        <f>Mtoe!U22</f>
        <v>1</v>
      </c>
      <c r="AT22" s="30">
        <f>Mtoe!V22</f>
        <v>1</v>
      </c>
      <c r="AU22" s="30">
        <f>Mtoe!W22</f>
        <v>0</v>
      </c>
      <c r="AV22" s="30">
        <f>Mtoe!X22</f>
        <v>1</v>
      </c>
      <c r="AW22" s="39"/>
      <c r="AX22" s="3" t="s">
        <v>10</v>
      </c>
      <c r="AY22" s="209">
        <f>AM22*B22</f>
        <v>198.44480468749995</v>
      </c>
      <c r="AZ22" s="209"/>
      <c r="BA22" s="209">
        <f>AO22*D22</f>
        <v>18.133714285714287</v>
      </c>
      <c r="BB22" s="209">
        <f>AP22*E22</f>
        <v>0</v>
      </c>
      <c r="BC22" s="209"/>
      <c r="BD22" s="209"/>
      <c r="BE22" s="209">
        <f>AS22*H22</f>
        <v>0</v>
      </c>
      <c r="BF22" s="209">
        <f>AT22*I22</f>
        <v>94.095</v>
      </c>
      <c r="BG22" s="209">
        <f>-(IF(AM22&gt;1,(B4*B22+AM4*(AY22-B22)),(B4*AY22))+IF(AO22&gt;1,(D4*D23+AO4*(BA22-D23)),(D4*BA22))+IF(AP22&gt;1,(E4*E22+AP4*(BB22-E22)),(E4*BB22))+IF(AQ22&gt;1,(F4*F22+AQ4*(BC22-F22)),(F4*BC22))+G4*BD22+H4*BE22+IF(AT22&gt;1,(I4*I22+AT4*(BF22-I22)),(I4*BF22)))</f>
        <v>-6500.467999999999</v>
      </c>
      <c r="BH22" s="209">
        <f>AV22*K22</f>
        <v>0</v>
      </c>
      <c r="BI22" s="215">
        <f aca="true" t="shared" si="6" ref="BI22:BI67">SUM(AY22:BH22)</f>
        <v>-6189.7944810267845</v>
      </c>
      <c r="BJ22" s="33"/>
      <c r="BK22" s="110" t="s">
        <v>10</v>
      </c>
      <c r="BL22" s="157">
        <f t="shared" si="3"/>
        <v>765.5901342441404</v>
      </c>
      <c r="BM22" s="157">
        <f t="shared" si="3"/>
        <v>0</v>
      </c>
      <c r="BN22" s="157">
        <f t="shared" si="4"/>
        <v>56.70358056</v>
      </c>
      <c r="BO22" s="157">
        <f t="shared" si="4"/>
        <v>0</v>
      </c>
      <c r="BP22" s="157">
        <f t="shared" si="4"/>
        <v>0</v>
      </c>
      <c r="BQ22" s="157">
        <f t="shared" si="4"/>
        <v>0</v>
      </c>
      <c r="BR22" s="157">
        <f t="shared" si="4"/>
        <v>0</v>
      </c>
      <c r="BS22" s="157">
        <f t="shared" si="4"/>
        <v>450.9013581</v>
      </c>
      <c r="BT22" s="157">
        <f>BG22*BT$6</f>
        <v>-1273.1950729041403</v>
      </c>
      <c r="BU22" s="157">
        <f>BH22*BU$6</f>
        <v>0</v>
      </c>
      <c r="BV22" s="158"/>
      <c r="BW22" s="189" t="e">
        <f>-SUM(BL22:BS22)*100/BW$16</f>
        <v>#DIV/0!</v>
      </c>
      <c r="BX22" s="189" t="s">
        <v>110</v>
      </c>
      <c r="BY22" s="189" t="e">
        <f>-SUM(BL22:BO22)*100/BY$16</f>
        <v>#DIV/0!</v>
      </c>
      <c r="BZ22" s="188" t="s">
        <v>110</v>
      </c>
      <c r="CA22" s="127" t="s">
        <v>111</v>
      </c>
    </row>
    <row r="23" spans="1:79" ht="12.75">
      <c r="A23" s="64" t="s">
        <v>11</v>
      </c>
      <c r="B23" s="65">
        <f>PMemission!B23*(B81)</f>
        <v>213.77015625</v>
      </c>
      <c r="C23" s="65"/>
      <c r="D23" s="65">
        <f>PMemission!D23*(D81)</f>
        <v>11.203542857142857</v>
      </c>
      <c r="E23" s="65"/>
      <c r="F23" s="65"/>
      <c r="G23" s="65"/>
      <c r="H23" s="65"/>
      <c r="I23" s="65">
        <f>PMemission!I23*(I81)</f>
        <v>444.645</v>
      </c>
      <c r="J23" s="69"/>
      <c r="K23" s="65"/>
      <c r="L23" s="71"/>
      <c r="M23" s="33"/>
      <c r="N23" s="72">
        <f>PMemission!N23*(N81)</f>
        <v>909.7956054687501</v>
      </c>
      <c r="O23" s="72"/>
      <c r="P23" s="72">
        <f>PMemission!P23*(P81)</f>
        <v>948.2165178571428</v>
      </c>
      <c r="Q23" s="65"/>
      <c r="R23" s="65"/>
      <c r="S23" s="65"/>
      <c r="T23" s="65"/>
      <c r="U23" s="65">
        <f>PMemission!U23*(U81)</f>
        <v>401.41562500000003</v>
      </c>
      <c r="V23" s="69"/>
      <c r="W23" s="65"/>
      <c r="X23" s="71"/>
      <c r="Y23" s="33"/>
      <c r="Z23" s="65">
        <f>PMemission!Z23*(Z81)</f>
        <v>5.81574</v>
      </c>
      <c r="AA23" s="65"/>
      <c r="AB23" s="65">
        <f>PMemission!AB23*(AB81)</f>
        <v>5.7384</v>
      </c>
      <c r="AC23" s="69"/>
      <c r="AD23" s="69"/>
      <c r="AE23" s="69"/>
      <c r="AF23" s="69"/>
      <c r="AG23" s="69"/>
      <c r="AH23" s="69"/>
      <c r="AI23" s="69"/>
      <c r="AJ23" s="69"/>
      <c r="AK23" s="33"/>
      <c r="AL23" s="3" t="s">
        <v>11</v>
      </c>
      <c r="AM23" s="30">
        <f>Mtoe!O23</f>
        <v>1</v>
      </c>
      <c r="AN23" s="30">
        <f>Mtoe!P23</f>
        <v>1</v>
      </c>
      <c r="AO23" s="30">
        <f>Mtoe!Q23</f>
        <v>1</v>
      </c>
      <c r="AP23" s="30">
        <f>Mtoe!R23</f>
        <v>1</v>
      </c>
      <c r="AQ23" s="30">
        <f>Mtoe!S23</f>
        <v>1</v>
      </c>
      <c r="AR23" s="30">
        <f>Mtoe!T23</f>
        <v>1</v>
      </c>
      <c r="AS23" s="30">
        <f>Mtoe!U23</f>
        <v>1</v>
      </c>
      <c r="AT23" s="30">
        <f>Mtoe!V23</f>
        <v>1</v>
      </c>
      <c r="AU23" s="30">
        <f>Mtoe!W23</f>
        <v>0</v>
      </c>
      <c r="AV23" s="30">
        <f>Mtoe!X23</f>
        <v>0</v>
      </c>
      <c r="AW23" s="39"/>
      <c r="AX23" s="3" t="s">
        <v>11</v>
      </c>
      <c r="AY23" s="209">
        <f>AM23*B23</f>
        <v>213.77015625</v>
      </c>
      <c r="AZ23" s="209"/>
      <c r="BA23" s="209">
        <f>AO23*D23</f>
        <v>11.203542857142857</v>
      </c>
      <c r="BB23" s="209">
        <f>AP23*E23</f>
        <v>0</v>
      </c>
      <c r="BC23" s="209"/>
      <c r="BD23" s="209"/>
      <c r="BE23" s="209">
        <f>AS23*H23</f>
        <v>0</v>
      </c>
      <c r="BF23" s="209">
        <f>AT23*I23</f>
        <v>444.645</v>
      </c>
      <c r="BG23" s="209">
        <f>-(IF(AM23&gt;1,(B5*B23+AM5*(AY23-B23)),(B5*AY23))+IF(AO23&gt;1,(D5*D24+AO5*(BA23-D24)),(D5*BA23))+IF(AP23&gt;1,(E5*E23+AP5*(BB23-E23)),(E5*BB23))+IF(AQ23&gt;1,(F5*F23+AQ5*(BC23-F23)),(F5*BC23))+IF(AT23&gt;1,(I5*I23+AT5*(BF23-I23)),(I5*BF23)))</f>
        <v>0</v>
      </c>
      <c r="BH23" s="209">
        <f>-(IF(AM23&gt;1,(B6*B23+AM6*(AY23-B23)),(B6*AY23))+IF(AO23&gt;1,(D6*D24+AO6*(BA23-D24)),(D6*BA23))+IF(AP23&gt;1,(E6*E23+AP6*(BB23-E23)),(E6*BB23))+IF(AQ23&gt;1,(F6*F23+AQ6*(BC23-F23)),(F6*BC23))+IF(AT23&gt;1,(I6*I23+AT6*(BF23-I23)),(I6*BF23)))</f>
        <v>0</v>
      </c>
      <c r="BI23" s="215">
        <f t="shared" si="6"/>
        <v>669.6186991071429</v>
      </c>
      <c r="BJ23" s="33"/>
      <c r="BK23" s="110" t="s">
        <v>11</v>
      </c>
      <c r="BL23" s="157">
        <f t="shared" si="3"/>
        <v>824.7145743046875</v>
      </c>
      <c r="BM23" s="157">
        <f t="shared" si="3"/>
        <v>0</v>
      </c>
      <c r="BN23" s="157">
        <f t="shared" si="4"/>
        <v>35.033142407999996</v>
      </c>
      <c r="BO23" s="157"/>
      <c r="BP23" s="157"/>
      <c r="BQ23" s="157"/>
      <c r="BR23" s="157"/>
      <c r="BS23" s="157">
        <f t="shared" si="4"/>
        <v>2130.7299470999997</v>
      </c>
      <c r="BT23" s="157" t="e">
        <f>BG23*BT$7</f>
        <v>#DIV/0!</v>
      </c>
      <c r="BU23" s="157" t="e">
        <f>BH23*BU7</f>
        <v>#DIV/0!</v>
      </c>
      <c r="BV23" s="158" t="e">
        <f>SUM(BL23:BU23)</f>
        <v>#DIV/0!</v>
      </c>
      <c r="BW23" s="189" t="e">
        <f>-SUM(BL23:BS23)*100/BW$16</f>
        <v>#DIV/0!</v>
      </c>
      <c r="BX23" s="189" t="s">
        <v>110</v>
      </c>
      <c r="BY23" s="189" t="e">
        <f>-SUM(BL23:BO23)*100/BY$16</f>
        <v>#DIV/0!</v>
      </c>
      <c r="BZ23" s="188" t="s">
        <v>110</v>
      </c>
      <c r="CA23" s="127" t="s">
        <v>111</v>
      </c>
    </row>
    <row r="24" spans="1:79" ht="12.75">
      <c r="A24" s="64" t="s">
        <v>12</v>
      </c>
      <c r="B24" s="65">
        <f>PMemission!B24*(B82)</f>
        <v>116.36953125</v>
      </c>
      <c r="C24" s="65"/>
      <c r="D24" s="65"/>
      <c r="E24" s="65"/>
      <c r="F24" s="65"/>
      <c r="G24" s="65"/>
      <c r="H24" s="65"/>
      <c r="I24" s="65">
        <f>PMemission!I24*(I82)</f>
        <v>653.6571428571428</v>
      </c>
      <c r="J24" s="65"/>
      <c r="K24" s="65"/>
      <c r="L24" s="71"/>
      <c r="M24" s="33"/>
      <c r="N24" s="65">
        <f>PMemission!N24*(N82)</f>
        <v>371.44738769531256</v>
      </c>
      <c r="O24" s="65"/>
      <c r="P24" s="65"/>
      <c r="Q24" s="65"/>
      <c r="R24" s="65"/>
      <c r="S24" s="65"/>
      <c r="T24" s="65"/>
      <c r="U24" s="65">
        <f>PMemission!U24*(U82)</f>
        <v>88.51607142857144</v>
      </c>
      <c r="V24" s="65"/>
      <c r="W24" s="65"/>
      <c r="X24" s="71"/>
      <c r="Y24" s="33"/>
      <c r="Z24" s="65">
        <f>PMemission!Z24*(Z82)</f>
        <v>5.19</v>
      </c>
      <c r="AA24" s="65"/>
      <c r="AB24" s="65"/>
      <c r="AC24" s="69"/>
      <c r="AD24" s="69"/>
      <c r="AE24" s="69"/>
      <c r="AF24" s="69"/>
      <c r="AG24" s="69"/>
      <c r="AH24" s="69"/>
      <c r="AI24" s="69"/>
      <c r="AJ24" s="69"/>
      <c r="AK24" s="33"/>
      <c r="AL24" s="3" t="s">
        <v>12</v>
      </c>
      <c r="AM24" s="30">
        <f>Mtoe!O24</f>
        <v>1</v>
      </c>
      <c r="AN24" s="30">
        <f>Mtoe!P24</f>
        <v>1</v>
      </c>
      <c r="AO24" s="30">
        <f>Mtoe!Q24</f>
        <v>1</v>
      </c>
      <c r="AP24" s="30">
        <f>Mtoe!R24</f>
        <v>1</v>
      </c>
      <c r="AQ24" s="30">
        <f>Mtoe!S24</f>
        <v>1</v>
      </c>
      <c r="AR24" s="30">
        <f>Mtoe!T24</f>
        <v>1</v>
      </c>
      <c r="AS24" s="30">
        <f>Mtoe!U24</f>
        <v>1</v>
      </c>
      <c r="AT24" s="30">
        <f>Mtoe!V24</f>
        <v>1</v>
      </c>
      <c r="AU24" s="30">
        <f>Mtoe!W24</f>
        <v>1</v>
      </c>
      <c r="AV24" s="30">
        <f>Mtoe!X24</f>
        <v>0</v>
      </c>
      <c r="AW24" s="39"/>
      <c r="AX24" s="3" t="s">
        <v>12</v>
      </c>
      <c r="AY24" s="209">
        <f>AM24*B24</f>
        <v>116.36953125</v>
      </c>
      <c r="AZ24" s="209"/>
      <c r="BA24" s="209">
        <f>AO24*D24</f>
        <v>0</v>
      </c>
      <c r="BB24" s="209">
        <f>AP24*E24</f>
        <v>0</v>
      </c>
      <c r="BC24" s="209"/>
      <c r="BD24" s="209"/>
      <c r="BE24" s="209">
        <f>AS24*H24</f>
        <v>0</v>
      </c>
      <c r="BF24" s="209">
        <f>AT24*I24</f>
        <v>653.6571428571428</v>
      </c>
      <c r="BG24" s="209">
        <f>AU24*J24</f>
        <v>0</v>
      </c>
      <c r="BH24" s="209">
        <f>-(IF(AM24&gt;1,(B7*B24+AM7*(AY24-B24)),(B7*AY24))+IF(AO24&gt;1,(D7*D25+AO7*(BA24-D25)),(D7*BA24))+IF(AP24&gt;1,(E7*E24+AP7*(BB24-E24)),(E7*BB24))+IF(AQ24&gt;1,(F7*F24+AQ7*(BC24-F24)),(F7*BC24))+IF(AT24&gt;1,(I7*I24+AT7*(BF24-I24)),(I7*BF24)))</f>
        <v>0</v>
      </c>
      <c r="BI24" s="215">
        <f t="shared" si="6"/>
        <v>770.0266741071429</v>
      </c>
      <c r="BJ24" s="33"/>
      <c r="BK24" s="110" t="s">
        <v>12</v>
      </c>
      <c r="BL24" s="157">
        <f t="shared" si="3"/>
        <v>448.9478330859375</v>
      </c>
      <c r="BM24" s="157">
        <f t="shared" si="3"/>
        <v>0</v>
      </c>
      <c r="BN24" s="157">
        <f t="shared" si="4"/>
        <v>0</v>
      </c>
      <c r="BO24" s="157"/>
      <c r="BP24" s="157"/>
      <c r="BQ24" s="157"/>
      <c r="BR24" s="157"/>
      <c r="BS24" s="157">
        <f t="shared" si="4"/>
        <v>3132.3119554285713</v>
      </c>
      <c r="BT24" s="157"/>
      <c r="BU24" s="157" t="e">
        <f>BH24*BU8</f>
        <v>#DIV/0!</v>
      </c>
      <c r="BV24" s="158" t="e">
        <f>SUM(BL24:BU24)</f>
        <v>#DIV/0!</v>
      </c>
      <c r="BW24" s="189" t="e">
        <f>-SUM(BL24:BS24)*100/BW$16</f>
        <v>#DIV/0!</v>
      </c>
      <c r="BX24" s="189" t="s">
        <v>110</v>
      </c>
      <c r="BY24" s="189" t="e">
        <f>-SUM(BL24:BO24)*100/BY$16</f>
        <v>#DIV/0!</v>
      </c>
      <c r="BZ24" s="188" t="s">
        <v>110</v>
      </c>
      <c r="CA24" s="127" t="s">
        <v>111</v>
      </c>
    </row>
    <row r="25" spans="1:78" ht="12.75">
      <c r="A25" s="64" t="s">
        <v>14</v>
      </c>
      <c r="B25" s="65"/>
      <c r="C25" s="65"/>
      <c r="D25" s="65"/>
      <c r="E25" s="65"/>
      <c r="F25" s="65"/>
      <c r="G25" s="65"/>
      <c r="H25" s="65"/>
      <c r="I25" s="65"/>
      <c r="J25" s="65"/>
      <c r="K25" s="65"/>
      <c r="L25" s="71"/>
      <c r="M25" s="33"/>
      <c r="N25" s="65"/>
      <c r="O25" s="65"/>
      <c r="P25" s="65"/>
      <c r="Q25" s="65"/>
      <c r="R25" s="65"/>
      <c r="S25" s="65"/>
      <c r="T25" s="65"/>
      <c r="U25" s="65"/>
      <c r="V25" s="65"/>
      <c r="W25" s="65"/>
      <c r="X25" s="71"/>
      <c r="Y25" s="33"/>
      <c r="Z25" s="69"/>
      <c r="AA25" s="69"/>
      <c r="AB25" s="69"/>
      <c r="AC25" s="69"/>
      <c r="AD25" s="69"/>
      <c r="AE25" s="69"/>
      <c r="AF25" s="69"/>
      <c r="AG25" s="69"/>
      <c r="AH25" s="69"/>
      <c r="AI25" s="69"/>
      <c r="AJ25" s="69"/>
      <c r="AK25" s="33"/>
      <c r="AL25" s="3" t="s">
        <v>14</v>
      </c>
      <c r="AM25" s="30">
        <f>Mtoe!O25</f>
        <v>1</v>
      </c>
      <c r="AN25" s="30">
        <f>Mtoe!P25</f>
        <v>1</v>
      </c>
      <c r="AO25" s="30">
        <f>Mtoe!Q25</f>
        <v>1</v>
      </c>
      <c r="AP25" s="30">
        <f>Mtoe!R25</f>
        <v>1</v>
      </c>
      <c r="AQ25" s="30">
        <f>Mtoe!S25</f>
        <v>1</v>
      </c>
      <c r="AR25" s="30">
        <f>Mtoe!T25</f>
        <v>1</v>
      </c>
      <c r="AS25" s="30">
        <f>Mtoe!U25</f>
        <v>1</v>
      </c>
      <c r="AT25" s="30">
        <f>Mtoe!V25</f>
        <v>1</v>
      </c>
      <c r="AU25" s="30">
        <f>Mtoe!W25</f>
        <v>1</v>
      </c>
      <c r="AV25" s="30">
        <f>Mtoe!X25</f>
        <v>1</v>
      </c>
      <c r="AW25" s="39"/>
      <c r="AX25" s="3" t="s">
        <v>14</v>
      </c>
      <c r="AY25" s="209">
        <f>AM25*B25</f>
        <v>0</v>
      </c>
      <c r="AZ25" s="209"/>
      <c r="BA25" s="209">
        <f>AO25*D25</f>
        <v>0</v>
      </c>
      <c r="BB25" s="209">
        <f>AP25*E25</f>
        <v>0</v>
      </c>
      <c r="BC25" s="209"/>
      <c r="BD25" s="209"/>
      <c r="BE25" s="209"/>
      <c r="BF25" s="209"/>
      <c r="BG25" s="209"/>
      <c r="BH25" s="209"/>
      <c r="BI25" s="215">
        <f t="shared" si="6"/>
        <v>0</v>
      </c>
      <c r="BJ25" s="33"/>
      <c r="BK25" s="110" t="s">
        <v>14</v>
      </c>
      <c r="BL25" s="157">
        <f t="shared" si="3"/>
        <v>0</v>
      </c>
      <c r="BM25" s="157">
        <f t="shared" si="3"/>
        <v>0</v>
      </c>
      <c r="BN25" s="157">
        <f t="shared" si="4"/>
        <v>0</v>
      </c>
      <c r="BO25" s="157"/>
      <c r="BP25" s="157"/>
      <c r="BQ25" s="157"/>
      <c r="BR25" s="157"/>
      <c r="BS25" s="157">
        <f t="shared" si="4"/>
        <v>0</v>
      </c>
      <c r="BT25" s="157"/>
      <c r="BU25" s="157"/>
      <c r="BV25" s="158">
        <f aca="true" t="shared" si="7" ref="BV25:BV31">SUM(BL25:BU25)</f>
        <v>0</v>
      </c>
      <c r="BW25" s="4" t="e">
        <f t="shared" si="5"/>
        <v>#DIV/0!</v>
      </c>
      <c r="BX25" s="4" t="s">
        <v>110</v>
      </c>
      <c r="BY25" s="4">
        <v>0.027989297724453212</v>
      </c>
      <c r="BZ25" t="s">
        <v>110</v>
      </c>
    </row>
    <row r="26" spans="1:78" ht="12.75">
      <c r="A26" s="64" t="s">
        <v>15</v>
      </c>
      <c r="B26" s="65"/>
      <c r="C26" s="65">
        <f>PMemission!C26*(C84)</f>
        <v>2.7159999999999855</v>
      </c>
      <c r="D26" s="65"/>
      <c r="E26" s="65"/>
      <c r="F26" s="65"/>
      <c r="G26" s="65"/>
      <c r="H26" s="65"/>
      <c r="I26" s="65"/>
      <c r="J26" s="65"/>
      <c r="K26" s="65"/>
      <c r="L26" s="71"/>
      <c r="M26" s="33"/>
      <c r="N26" s="65"/>
      <c r="O26" s="65">
        <f>PMemission!O26*(O84)</f>
        <v>68.96093749999963</v>
      </c>
      <c r="P26" s="65"/>
      <c r="Q26" s="65"/>
      <c r="R26" s="65"/>
      <c r="S26" s="65"/>
      <c r="T26" s="65"/>
      <c r="U26" s="65"/>
      <c r="V26" s="65"/>
      <c r="W26" s="65"/>
      <c r="X26" s="71"/>
      <c r="Y26" s="33"/>
      <c r="Z26" s="69"/>
      <c r="AA26" s="69"/>
      <c r="AB26" s="69"/>
      <c r="AC26" s="69"/>
      <c r="AD26" s="69"/>
      <c r="AE26" s="69"/>
      <c r="AF26" s="69"/>
      <c r="AG26" s="69"/>
      <c r="AH26" s="69"/>
      <c r="AI26" s="69"/>
      <c r="AJ26" s="69"/>
      <c r="AK26" s="33"/>
      <c r="AL26" s="3" t="s">
        <v>15</v>
      </c>
      <c r="AM26" s="30">
        <f>Mtoe!O26</f>
        <v>1</v>
      </c>
      <c r="AN26" s="30">
        <f>Mtoe!P26</f>
        <v>1</v>
      </c>
      <c r="AO26" s="30">
        <f>Mtoe!Q26</f>
        <v>1</v>
      </c>
      <c r="AP26" s="30">
        <f>Mtoe!R26</f>
        <v>1</v>
      </c>
      <c r="AQ26" s="30">
        <f>Mtoe!S26</f>
        <v>1</v>
      </c>
      <c r="AR26" s="30">
        <f>Mtoe!T26</f>
        <v>1</v>
      </c>
      <c r="AS26" s="30">
        <f>Mtoe!U26</f>
        <v>1</v>
      </c>
      <c r="AT26" s="30">
        <f>Mtoe!V26</f>
        <v>1</v>
      </c>
      <c r="AU26" s="30">
        <f>Mtoe!W26</f>
        <v>1</v>
      </c>
      <c r="AV26" s="30">
        <f>Mtoe!X26</f>
        <v>1</v>
      </c>
      <c r="AW26" s="39"/>
      <c r="AX26" s="3" t="s">
        <v>15</v>
      </c>
      <c r="AY26" s="209"/>
      <c r="AZ26" s="209">
        <f>AN26*C26</f>
        <v>2.7159999999999855</v>
      </c>
      <c r="BA26" s="209">
        <f>AO26*D26</f>
        <v>0</v>
      </c>
      <c r="BB26" s="209"/>
      <c r="BC26" s="209"/>
      <c r="BD26" s="209"/>
      <c r="BE26" s="209"/>
      <c r="BF26" s="209"/>
      <c r="BG26" s="209"/>
      <c r="BH26" s="209"/>
      <c r="BI26" s="215">
        <f t="shared" si="6"/>
        <v>2.7159999999999855</v>
      </c>
      <c r="BJ26" s="33"/>
      <c r="BK26" s="110" t="s">
        <v>15</v>
      </c>
      <c r="BL26" s="157"/>
      <c r="BM26" s="157">
        <f t="shared" si="3"/>
        <v>8.492850519999953</v>
      </c>
      <c r="BN26" s="157">
        <f t="shared" si="4"/>
        <v>0</v>
      </c>
      <c r="BO26" s="157"/>
      <c r="BP26" s="157"/>
      <c r="BQ26" s="157"/>
      <c r="BR26" s="157"/>
      <c r="BS26" s="157">
        <f t="shared" si="4"/>
        <v>0</v>
      </c>
      <c r="BT26" s="157"/>
      <c r="BU26" s="157"/>
      <c r="BV26" s="158">
        <f t="shared" si="7"/>
        <v>8.492850519999953</v>
      </c>
      <c r="BW26" s="4" t="e">
        <f t="shared" si="5"/>
        <v>#DIV/0!</v>
      </c>
      <c r="BX26" s="4" t="s">
        <v>110</v>
      </c>
      <c r="BY26" s="4">
        <v>0.46017750092062254</v>
      </c>
      <c r="BZ26" t="s">
        <v>110</v>
      </c>
    </row>
    <row r="27" spans="1:78" ht="12.75">
      <c r="A27" s="64" t="s">
        <v>16</v>
      </c>
      <c r="B27" s="65"/>
      <c r="C27" s="65"/>
      <c r="D27" s="65"/>
      <c r="E27" s="65"/>
      <c r="F27" s="65"/>
      <c r="G27" s="65"/>
      <c r="H27" s="65"/>
      <c r="I27" s="65"/>
      <c r="J27" s="65"/>
      <c r="K27" s="65"/>
      <c r="L27" s="71"/>
      <c r="M27" s="33"/>
      <c r="N27" s="65"/>
      <c r="O27" s="65"/>
      <c r="P27" s="65"/>
      <c r="Q27" s="65"/>
      <c r="R27" s="65"/>
      <c r="S27" s="65"/>
      <c r="T27" s="65"/>
      <c r="U27" s="65"/>
      <c r="V27" s="65"/>
      <c r="W27" s="65"/>
      <c r="X27" s="71"/>
      <c r="Y27" s="33"/>
      <c r="Z27" s="69"/>
      <c r="AA27" s="69"/>
      <c r="AB27" s="69"/>
      <c r="AC27" s="69"/>
      <c r="AD27" s="69"/>
      <c r="AE27" s="69"/>
      <c r="AF27" s="69"/>
      <c r="AG27" s="69"/>
      <c r="AH27" s="69"/>
      <c r="AI27" s="69"/>
      <c r="AJ27" s="69"/>
      <c r="AK27" s="33"/>
      <c r="AL27" s="3" t="s">
        <v>16</v>
      </c>
      <c r="AM27" s="30">
        <f>Mtoe!O27</f>
        <v>1</v>
      </c>
      <c r="AN27" s="30">
        <f>Mtoe!P27</f>
        <v>1</v>
      </c>
      <c r="AO27" s="30">
        <f>Mtoe!Q27</f>
        <v>1</v>
      </c>
      <c r="AP27" s="30">
        <f>Mtoe!R27</f>
        <v>1</v>
      </c>
      <c r="AQ27" s="30">
        <f>Mtoe!S27</f>
        <v>1</v>
      </c>
      <c r="AR27" s="30">
        <f>Mtoe!T27</f>
        <v>1</v>
      </c>
      <c r="AS27" s="30">
        <f>Mtoe!U27</f>
        <v>1</v>
      </c>
      <c r="AT27" s="30">
        <f>Mtoe!V27</f>
        <v>1</v>
      </c>
      <c r="AU27" s="30">
        <f>Mtoe!W27</f>
        <v>1</v>
      </c>
      <c r="AV27" s="30">
        <f>Mtoe!X27</f>
        <v>1</v>
      </c>
      <c r="AW27" s="39"/>
      <c r="AX27" s="3" t="s">
        <v>16</v>
      </c>
      <c r="AY27" s="209">
        <f>AM27*B27*AY35/B35</f>
        <v>0</v>
      </c>
      <c r="AZ27" s="209">
        <f>AN27*C27</f>
        <v>0</v>
      </c>
      <c r="BA27" s="209">
        <f>AO27*D27</f>
        <v>0</v>
      </c>
      <c r="BB27" s="209">
        <f>AP27*E27</f>
        <v>0</v>
      </c>
      <c r="BC27" s="209"/>
      <c r="BD27" s="209"/>
      <c r="BE27" s="209"/>
      <c r="BF27" s="209"/>
      <c r="BG27" s="209"/>
      <c r="BH27" s="209"/>
      <c r="BI27" s="215">
        <f t="shared" si="6"/>
        <v>0</v>
      </c>
      <c r="BJ27" s="33"/>
      <c r="BK27" s="110" t="s">
        <v>16</v>
      </c>
      <c r="BL27" s="157">
        <f t="shared" si="3"/>
        <v>0</v>
      </c>
      <c r="BM27" s="157">
        <f t="shared" si="3"/>
        <v>0</v>
      </c>
      <c r="BN27" s="157">
        <f t="shared" si="4"/>
        <v>0</v>
      </c>
      <c r="BO27" s="157"/>
      <c r="BP27" s="157"/>
      <c r="BQ27" s="157"/>
      <c r="BR27" s="157"/>
      <c r="BS27" s="157">
        <f t="shared" si="4"/>
        <v>0</v>
      </c>
      <c r="BT27" s="157"/>
      <c r="BU27" s="157"/>
      <c r="BV27" s="158">
        <f t="shared" si="7"/>
        <v>0</v>
      </c>
      <c r="BW27" s="4" t="e">
        <f t="shared" si="5"/>
        <v>#DIV/0!</v>
      </c>
      <c r="BX27" s="4" t="s">
        <v>110</v>
      </c>
      <c r="BY27" s="4">
        <v>2.1794861261397966</v>
      </c>
      <c r="BZ27" t="s">
        <v>110</v>
      </c>
    </row>
    <row r="28" spans="1:77" ht="12.75">
      <c r="A28" s="64" t="s">
        <v>17</v>
      </c>
      <c r="B28" s="65"/>
      <c r="C28" s="65"/>
      <c r="D28" s="65"/>
      <c r="E28" s="65"/>
      <c r="F28" s="65"/>
      <c r="G28" s="65"/>
      <c r="H28" s="65"/>
      <c r="I28" s="65"/>
      <c r="J28" s="65"/>
      <c r="K28" s="65"/>
      <c r="L28" s="71"/>
      <c r="M28" s="33"/>
      <c r="N28" s="65"/>
      <c r="O28" s="65"/>
      <c r="P28" s="65"/>
      <c r="Q28" s="65"/>
      <c r="R28" s="65"/>
      <c r="S28" s="65"/>
      <c r="T28" s="65"/>
      <c r="U28" s="65"/>
      <c r="V28" s="65"/>
      <c r="W28" s="65"/>
      <c r="X28" s="71"/>
      <c r="Y28" s="33"/>
      <c r="Z28" s="69"/>
      <c r="AA28" s="69"/>
      <c r="AB28" s="69"/>
      <c r="AC28" s="69"/>
      <c r="AD28" s="69"/>
      <c r="AE28" s="69"/>
      <c r="AF28" s="69"/>
      <c r="AG28" s="69"/>
      <c r="AH28" s="69"/>
      <c r="AI28" s="69"/>
      <c r="AJ28" s="69"/>
      <c r="AK28" s="33"/>
      <c r="AL28" s="3" t="s">
        <v>17</v>
      </c>
      <c r="AM28" s="30">
        <f>Mtoe!O28</f>
        <v>1</v>
      </c>
      <c r="AN28" s="30">
        <f>Mtoe!P28</f>
        <v>1</v>
      </c>
      <c r="AO28" s="30">
        <f>Mtoe!Q28</f>
        <v>1</v>
      </c>
      <c r="AP28" s="30">
        <f>Mtoe!R28</f>
        <v>1</v>
      </c>
      <c r="AQ28" s="30">
        <f>Mtoe!S28</f>
        <v>1</v>
      </c>
      <c r="AR28" s="30">
        <f>Mtoe!T28</f>
        <v>1</v>
      </c>
      <c r="AS28" s="30">
        <f>Mtoe!U28</f>
        <v>1</v>
      </c>
      <c r="AT28" s="30">
        <f>Mtoe!V28</f>
        <v>1</v>
      </c>
      <c r="AU28" s="30">
        <f>Mtoe!W28</f>
        <v>1</v>
      </c>
      <c r="AV28" s="30">
        <f>Mtoe!X28</f>
        <v>1</v>
      </c>
      <c r="AW28" s="39"/>
      <c r="AX28" s="3" t="s">
        <v>17</v>
      </c>
      <c r="AY28" s="209"/>
      <c r="AZ28" s="209"/>
      <c r="BA28" s="209"/>
      <c r="BB28" s="209"/>
      <c r="BC28" s="209"/>
      <c r="BD28" s="209"/>
      <c r="BE28" s="209"/>
      <c r="BF28" s="209"/>
      <c r="BG28" s="209"/>
      <c r="BH28" s="209"/>
      <c r="BI28" s="215">
        <f t="shared" si="6"/>
        <v>0</v>
      </c>
      <c r="BJ28" s="33"/>
      <c r="BK28" s="110" t="s">
        <v>17</v>
      </c>
      <c r="BL28" s="157"/>
      <c r="BM28" s="157">
        <f t="shared" si="3"/>
        <v>0</v>
      </c>
      <c r="BN28" s="157">
        <f t="shared" si="4"/>
        <v>0</v>
      </c>
      <c r="BO28" s="157"/>
      <c r="BP28" s="157"/>
      <c r="BQ28" s="157"/>
      <c r="BR28" s="157"/>
      <c r="BS28" s="157">
        <f t="shared" si="4"/>
        <v>0</v>
      </c>
      <c r="BT28" s="157"/>
      <c r="BU28" s="157"/>
      <c r="BV28" s="158">
        <f t="shared" si="7"/>
        <v>0</v>
      </c>
      <c r="BW28" s="4" t="e">
        <f t="shared" si="5"/>
        <v>#DIV/0!</v>
      </c>
      <c r="BX28" s="4"/>
      <c r="BY28" s="4">
        <v>0</v>
      </c>
    </row>
    <row r="29" spans="1:79" ht="12.75">
      <c r="A29" s="64" t="s">
        <v>18</v>
      </c>
      <c r="B29" s="65"/>
      <c r="C29" s="65"/>
      <c r="D29" s="65"/>
      <c r="E29" s="65"/>
      <c r="F29" s="65"/>
      <c r="G29" s="65"/>
      <c r="H29" s="65"/>
      <c r="I29" s="65">
        <f>PMemission!I29*(I87)</f>
        <v>57.98571428571428</v>
      </c>
      <c r="J29" s="65"/>
      <c r="K29" s="65"/>
      <c r="L29" s="71"/>
      <c r="M29" s="33"/>
      <c r="N29" s="65"/>
      <c r="O29" s="65"/>
      <c r="P29" s="65"/>
      <c r="Q29" s="65"/>
      <c r="R29" s="65"/>
      <c r="S29" s="65"/>
      <c r="T29" s="65"/>
      <c r="U29" s="65">
        <f>PMemission!U29*(U87)</f>
        <v>2.617410714285714</v>
      </c>
      <c r="V29" s="65"/>
      <c r="W29" s="65"/>
      <c r="X29" s="71"/>
      <c r="Y29" s="33"/>
      <c r="Z29" s="69"/>
      <c r="AA29" s="69"/>
      <c r="AB29" s="69"/>
      <c r="AC29" s="69"/>
      <c r="AD29" s="69"/>
      <c r="AE29" s="69"/>
      <c r="AF29" s="69"/>
      <c r="AG29" s="69"/>
      <c r="AH29" s="69"/>
      <c r="AI29" s="69"/>
      <c r="AJ29" s="69"/>
      <c r="AK29" s="33"/>
      <c r="AL29" s="3" t="s">
        <v>18</v>
      </c>
      <c r="AM29" s="30">
        <f>Mtoe!O29</f>
        <v>1</v>
      </c>
      <c r="AN29" s="30">
        <f>Mtoe!P29</f>
        <v>1</v>
      </c>
      <c r="AO29" s="30">
        <f>Mtoe!Q29</f>
        <v>1</v>
      </c>
      <c r="AP29" s="30">
        <f>Mtoe!R29</f>
        <v>1</v>
      </c>
      <c r="AQ29" s="30">
        <f>Mtoe!S29</f>
        <v>1</v>
      </c>
      <c r="AR29" s="30">
        <f>Mtoe!T29</f>
        <v>1</v>
      </c>
      <c r="AS29" s="30">
        <f>Mtoe!U29</f>
        <v>1</v>
      </c>
      <c r="AT29" s="30">
        <f>Mtoe!V29</f>
        <v>1</v>
      </c>
      <c r="AU29" s="30">
        <f>Mtoe!W29</f>
        <v>1</v>
      </c>
      <c r="AV29" s="30">
        <f>Mtoe!X29</f>
        <v>1</v>
      </c>
      <c r="AW29" s="39"/>
      <c r="AX29" s="3" t="s">
        <v>18</v>
      </c>
      <c r="AY29" s="209"/>
      <c r="AZ29" s="209"/>
      <c r="BA29" s="209"/>
      <c r="BB29" s="209"/>
      <c r="BC29" s="209"/>
      <c r="BD29" s="209"/>
      <c r="BE29" s="209"/>
      <c r="BF29" s="209"/>
      <c r="BG29" s="209"/>
      <c r="BH29" s="209"/>
      <c r="BI29" s="215"/>
      <c r="BJ29" s="33"/>
      <c r="BK29" s="110" t="s">
        <v>18</v>
      </c>
      <c r="BL29" s="157">
        <f t="shared" si="3"/>
        <v>0</v>
      </c>
      <c r="BM29" s="157">
        <f t="shared" si="3"/>
        <v>0</v>
      </c>
      <c r="BN29" s="157">
        <f t="shared" si="4"/>
        <v>0</v>
      </c>
      <c r="BO29" s="157"/>
      <c r="BP29" s="157"/>
      <c r="BQ29" s="157"/>
      <c r="BR29" s="157"/>
      <c r="BS29" s="157">
        <f t="shared" si="4"/>
        <v>0</v>
      </c>
      <c r="BT29" s="157">
        <f>BG29*BT$6</f>
        <v>0</v>
      </c>
      <c r="BU29" s="157">
        <f>BH29*BU$6</f>
        <v>0</v>
      </c>
      <c r="BV29" s="158">
        <f t="shared" si="7"/>
        <v>0</v>
      </c>
      <c r="BW29" s="4" t="e">
        <f t="shared" si="5"/>
        <v>#DIV/0!</v>
      </c>
      <c r="BX29" s="4" t="s">
        <v>110</v>
      </c>
      <c r="BY29" s="4">
        <v>0.023130778119453715</v>
      </c>
      <c r="BZ29" t="s">
        <v>110</v>
      </c>
      <c r="CA29" t="s">
        <v>129</v>
      </c>
    </row>
    <row r="30" spans="1:79" ht="12.75">
      <c r="A30" s="64" t="s">
        <v>19</v>
      </c>
      <c r="B30" s="65"/>
      <c r="C30" s="65"/>
      <c r="D30" s="65"/>
      <c r="E30" s="65"/>
      <c r="F30" s="65"/>
      <c r="G30" s="65"/>
      <c r="H30" s="65"/>
      <c r="I30" s="65"/>
      <c r="J30" s="65"/>
      <c r="K30" s="65"/>
      <c r="L30" s="71"/>
      <c r="M30" s="33"/>
      <c r="N30" s="65"/>
      <c r="O30" s="65"/>
      <c r="P30" s="65"/>
      <c r="Q30" s="65"/>
      <c r="R30" s="65"/>
      <c r="S30" s="65"/>
      <c r="T30" s="65"/>
      <c r="U30" s="65"/>
      <c r="V30" s="65"/>
      <c r="W30" s="65"/>
      <c r="X30" s="71"/>
      <c r="Y30" s="33"/>
      <c r="Z30" s="69"/>
      <c r="AA30" s="69"/>
      <c r="AB30" s="69"/>
      <c r="AC30" s="69"/>
      <c r="AD30" s="69"/>
      <c r="AE30" s="69"/>
      <c r="AF30" s="69"/>
      <c r="AG30" s="69"/>
      <c r="AH30" s="69"/>
      <c r="AI30" s="69"/>
      <c r="AJ30" s="69"/>
      <c r="AK30" s="33"/>
      <c r="AL30" s="3" t="s">
        <v>19</v>
      </c>
      <c r="AM30" s="30">
        <f>Mtoe!O30</f>
        <v>1</v>
      </c>
      <c r="AN30" s="30">
        <f>Mtoe!P30</f>
        <v>1</v>
      </c>
      <c r="AO30" s="30">
        <f>Mtoe!Q30</f>
        <v>1</v>
      </c>
      <c r="AP30" s="30">
        <f>Mtoe!R30</f>
        <v>1</v>
      </c>
      <c r="AQ30" s="30">
        <f>Mtoe!S30</f>
        <v>0</v>
      </c>
      <c r="AR30" s="30">
        <f>Mtoe!T30</f>
        <v>0</v>
      </c>
      <c r="AS30" s="30">
        <f>Mtoe!U30</f>
        <v>0</v>
      </c>
      <c r="AT30" s="30">
        <f>Mtoe!V30</f>
        <v>1</v>
      </c>
      <c r="AU30" s="30">
        <f>Mtoe!W30</f>
        <v>1</v>
      </c>
      <c r="AV30" s="30">
        <f>Mtoe!X30</f>
        <v>1</v>
      </c>
      <c r="AW30" s="39"/>
      <c r="AX30" s="3" t="s">
        <v>19</v>
      </c>
      <c r="AY30" s="209">
        <f>AM30*B30</f>
        <v>0</v>
      </c>
      <c r="AZ30" s="209"/>
      <c r="BA30" s="209">
        <f>AO30*AZ26*D30/C26</f>
        <v>0</v>
      </c>
      <c r="BB30" s="209"/>
      <c r="BC30" s="209"/>
      <c r="BD30" s="209"/>
      <c r="BE30" s="209"/>
      <c r="BF30" s="209"/>
      <c r="BG30" s="209"/>
      <c r="BH30" s="209"/>
      <c r="BI30" s="215"/>
      <c r="BJ30" s="33"/>
      <c r="BK30" s="110" t="s">
        <v>19</v>
      </c>
      <c r="BL30" s="157">
        <f t="shared" si="3"/>
        <v>0</v>
      </c>
      <c r="BM30" s="157">
        <f t="shared" si="3"/>
        <v>0</v>
      </c>
      <c r="BN30" s="157">
        <f t="shared" si="4"/>
        <v>0</v>
      </c>
      <c r="BO30" s="157"/>
      <c r="BP30" s="157"/>
      <c r="BQ30" s="157"/>
      <c r="BR30" s="157"/>
      <c r="BS30" s="157">
        <f t="shared" si="4"/>
        <v>0</v>
      </c>
      <c r="BT30" s="157">
        <f>BG30*BT$6</f>
        <v>0</v>
      </c>
      <c r="BU30" s="157">
        <f>BH30*BU$6</f>
        <v>0</v>
      </c>
      <c r="BV30" s="158">
        <f t="shared" si="7"/>
        <v>0</v>
      </c>
      <c r="BW30" s="4" t="e">
        <f t="shared" si="5"/>
        <v>#DIV/0!</v>
      </c>
      <c r="BX30" s="4" t="s">
        <v>110</v>
      </c>
      <c r="BY30" s="4">
        <v>6.077478968684176</v>
      </c>
      <c r="BZ30" t="s">
        <v>110</v>
      </c>
      <c r="CA30" t="s">
        <v>130</v>
      </c>
    </row>
    <row r="31" spans="1:79" ht="13.5" thickBot="1">
      <c r="A31" s="70" t="s">
        <v>20</v>
      </c>
      <c r="B31" s="70"/>
      <c r="C31" s="70"/>
      <c r="D31" s="70"/>
      <c r="E31" s="70"/>
      <c r="F31" s="70"/>
      <c r="G31" s="70"/>
      <c r="H31" s="70"/>
      <c r="I31" s="65"/>
      <c r="J31" s="70"/>
      <c r="K31" s="70"/>
      <c r="L31" s="71"/>
      <c r="M31" s="33"/>
      <c r="N31" s="70"/>
      <c r="O31" s="70"/>
      <c r="P31" s="70"/>
      <c r="Q31" s="70"/>
      <c r="R31" s="70"/>
      <c r="S31" s="70"/>
      <c r="T31" s="70"/>
      <c r="U31" s="65"/>
      <c r="V31" s="70"/>
      <c r="W31" s="70"/>
      <c r="X31" s="71"/>
      <c r="Y31" s="33"/>
      <c r="Z31" s="69"/>
      <c r="AA31" s="69"/>
      <c r="AB31" s="69"/>
      <c r="AC31" s="69"/>
      <c r="AD31" s="69"/>
      <c r="AE31" s="69"/>
      <c r="AF31" s="69"/>
      <c r="AG31" s="69"/>
      <c r="AH31" s="69"/>
      <c r="AI31" s="69"/>
      <c r="AJ31" s="69"/>
      <c r="AK31" s="33"/>
      <c r="AL31" s="3" t="s">
        <v>20</v>
      </c>
      <c r="AM31" s="30">
        <f>Mtoe!O31</f>
        <v>1</v>
      </c>
      <c r="AN31" s="30">
        <f>Mtoe!P31</f>
        <v>1</v>
      </c>
      <c r="AO31" s="30">
        <f>Mtoe!Q31</f>
        <v>1</v>
      </c>
      <c r="AP31" s="30">
        <f>Mtoe!R31</f>
        <v>1</v>
      </c>
      <c r="AQ31" s="30">
        <f>Mtoe!S31</f>
        <v>1</v>
      </c>
      <c r="AR31" s="30">
        <f>Mtoe!T31</f>
        <v>1</v>
      </c>
      <c r="AS31" s="30">
        <f>Mtoe!U31</f>
        <v>1</v>
      </c>
      <c r="AT31" s="30">
        <f>Mtoe!V31</f>
        <v>1</v>
      </c>
      <c r="AU31" s="30">
        <f>Mtoe!W31</f>
        <v>1</v>
      </c>
      <c r="AV31" s="30">
        <f>Mtoe!X31</f>
        <v>1</v>
      </c>
      <c r="AW31" s="39"/>
      <c r="AX31" s="3" t="s">
        <v>20</v>
      </c>
      <c r="AY31" s="209"/>
      <c r="AZ31" s="209"/>
      <c r="BA31" s="209"/>
      <c r="BB31" s="209"/>
      <c r="BC31" s="209"/>
      <c r="BD31" s="209"/>
      <c r="BE31" s="209"/>
      <c r="BF31" s="209"/>
      <c r="BG31" s="209"/>
      <c r="BH31" s="209"/>
      <c r="BI31" s="215"/>
      <c r="BJ31" s="33"/>
      <c r="BK31" s="114" t="s">
        <v>20</v>
      </c>
      <c r="BL31" s="157">
        <f t="shared" si="3"/>
        <v>0</v>
      </c>
      <c r="BM31" s="157">
        <f t="shared" si="3"/>
        <v>0</v>
      </c>
      <c r="BN31" s="157">
        <f t="shared" si="4"/>
        <v>0</v>
      </c>
      <c r="BO31" s="157"/>
      <c r="BP31" s="157"/>
      <c r="BQ31" s="157"/>
      <c r="BR31" s="157"/>
      <c r="BS31" s="157">
        <f t="shared" si="4"/>
        <v>0</v>
      </c>
      <c r="BT31" s="157">
        <f>BG31*BT$6</f>
        <v>0</v>
      </c>
      <c r="BU31" s="157" t="e">
        <f>BH31*BU$7</f>
        <v>#DIV/0!</v>
      </c>
      <c r="BV31" s="158" t="e">
        <f t="shared" si="7"/>
        <v>#DIV/0!</v>
      </c>
      <c r="BW31" s="4" t="e">
        <f t="shared" si="5"/>
        <v>#DIV/0!</v>
      </c>
      <c r="BX31" s="4" t="s">
        <v>110</v>
      </c>
      <c r="BY31" s="4">
        <v>2.1084452622185825</v>
      </c>
      <c r="BZ31" t="s">
        <v>110</v>
      </c>
      <c r="CA31" s="187" t="e">
        <f>-SUM(BT30:BU31)*100/BW16</f>
        <v>#DIV/0!</v>
      </c>
    </row>
    <row r="32" spans="1:78" ht="15.75" thickBot="1">
      <c r="A32" s="3"/>
      <c r="B32" s="135"/>
      <c r="C32" s="135"/>
      <c r="D32" s="135"/>
      <c r="E32" s="135"/>
      <c r="F32" s="135"/>
      <c r="G32" s="135"/>
      <c r="H32" s="135"/>
      <c r="I32" s="135"/>
      <c r="J32" s="135"/>
      <c r="K32" s="135"/>
      <c r="L32" s="119"/>
      <c r="M32" s="33"/>
      <c r="N32" s="135"/>
      <c r="O32" s="135"/>
      <c r="P32" s="135"/>
      <c r="Q32" s="135"/>
      <c r="R32" s="135"/>
      <c r="S32" s="135"/>
      <c r="T32" s="135"/>
      <c r="U32" s="135"/>
      <c r="V32" s="135"/>
      <c r="W32" s="135"/>
      <c r="X32" s="119"/>
      <c r="Y32" s="33"/>
      <c r="Z32" s="88"/>
      <c r="AA32" s="88"/>
      <c r="AB32" s="88"/>
      <c r="AC32" s="88"/>
      <c r="AD32" s="88"/>
      <c r="AE32" s="88"/>
      <c r="AF32" s="88"/>
      <c r="AG32" s="88"/>
      <c r="AH32" s="88"/>
      <c r="AI32" s="88"/>
      <c r="AJ32" s="88"/>
      <c r="AK32" s="33"/>
      <c r="AL32" s="12" t="s">
        <v>96</v>
      </c>
      <c r="AM32" s="53"/>
      <c r="AN32" s="53"/>
      <c r="AO32" s="53"/>
      <c r="AP32" s="53"/>
      <c r="AQ32" s="53"/>
      <c r="AR32" s="53"/>
      <c r="AS32" s="53"/>
      <c r="AT32" s="53"/>
      <c r="AU32" s="53"/>
      <c r="AV32" s="54"/>
      <c r="AW32" s="39"/>
      <c r="AX32" s="116" t="s">
        <v>78</v>
      </c>
      <c r="AY32" s="217">
        <f>AY18+SUM(AY20:AY31)</f>
        <v>528.5844921875</v>
      </c>
      <c r="AZ32" s="128">
        <f aca="true" t="shared" si="8" ref="AZ32:BI32">AZ18+SUM(AZ20:AZ31)</f>
        <v>2.7159999999999855</v>
      </c>
      <c r="BA32" s="128">
        <f t="shared" si="8"/>
        <v>29.337257142857144</v>
      </c>
      <c r="BB32" s="128">
        <f t="shared" si="8"/>
        <v>0</v>
      </c>
      <c r="BC32" s="128">
        <f>BC18+SUM(BC20:BC31)</f>
        <v>0</v>
      </c>
      <c r="BD32" s="128">
        <f>BD18+SUM(BD20:BD31)</f>
        <v>0</v>
      </c>
      <c r="BE32" s="128">
        <f>BE18+SUM(BE20:BE31)</f>
        <v>0</v>
      </c>
      <c r="BF32" s="128">
        <f t="shared" si="8"/>
        <v>1192.3971428571429</v>
      </c>
      <c r="BG32" s="128">
        <f t="shared" si="8"/>
        <v>-6500.467999999999</v>
      </c>
      <c r="BH32" s="128">
        <f t="shared" si="8"/>
        <v>0</v>
      </c>
      <c r="BI32" s="216">
        <f t="shared" si="8"/>
        <v>-4747.433107812499</v>
      </c>
      <c r="BJ32" s="33"/>
      <c r="BK32" s="116" t="s">
        <v>78</v>
      </c>
      <c r="BL32" s="159">
        <f>BL19+SUM(BL20:BL31)</f>
        <v>85810.20572507812</v>
      </c>
      <c r="BM32" s="149">
        <f aca="true" t="shared" si="9" ref="BM32:BS32">BM19+SUM(BM20:BM31)</f>
        <v>0</v>
      </c>
      <c r="BN32" s="149">
        <f t="shared" si="9"/>
        <v>3415.539076125</v>
      </c>
      <c r="BO32" s="149">
        <f t="shared" si="9"/>
        <v>0</v>
      </c>
      <c r="BP32" s="149">
        <f t="shared" si="9"/>
        <v>0</v>
      </c>
      <c r="BQ32" s="149">
        <f t="shared" si="9"/>
        <v>0</v>
      </c>
      <c r="BR32" s="149">
        <f t="shared" si="9"/>
        <v>0</v>
      </c>
      <c r="BS32" s="149">
        <f t="shared" si="9"/>
        <v>145631.45544385712</v>
      </c>
      <c r="BT32" s="149" t="e">
        <f>BT19+SUM(BT20:BT31)</f>
        <v>#DIV/0!</v>
      </c>
      <c r="BU32" s="149" t="e">
        <f>BU19+SUM(BU20:BU31)</f>
        <v>#DIV/0!</v>
      </c>
      <c r="BV32" s="150" t="e">
        <f>BV19+SUM(BV20:BV31)</f>
        <v>#DIV/0!</v>
      </c>
      <c r="BW32" s="190"/>
      <c r="BX32" s="191"/>
      <c r="BY32" s="191"/>
      <c r="BZ32" s="124"/>
    </row>
    <row r="33" spans="1:79" ht="15.75" thickBot="1">
      <c r="A33" s="66" t="s">
        <v>21</v>
      </c>
      <c r="B33" s="67"/>
      <c r="C33" s="67"/>
      <c r="D33" s="67"/>
      <c r="E33" s="67"/>
      <c r="F33" s="67"/>
      <c r="G33" s="67"/>
      <c r="H33" s="67"/>
      <c r="I33" s="67"/>
      <c r="J33" s="67"/>
      <c r="K33" s="67"/>
      <c r="L33" s="68"/>
      <c r="M33" s="38"/>
      <c r="N33" s="67"/>
      <c r="O33" s="67"/>
      <c r="P33" s="67"/>
      <c r="Q33" s="67"/>
      <c r="R33" s="67"/>
      <c r="S33" s="67"/>
      <c r="T33" s="67"/>
      <c r="U33" s="67"/>
      <c r="V33" s="67"/>
      <c r="W33" s="67"/>
      <c r="X33" s="68"/>
      <c r="Y33" s="38"/>
      <c r="Z33" s="373"/>
      <c r="AA33" s="374"/>
      <c r="AB33" s="374"/>
      <c r="AC33" s="374"/>
      <c r="AD33" s="374"/>
      <c r="AE33" s="374"/>
      <c r="AF33" s="374"/>
      <c r="AG33" s="374"/>
      <c r="AH33" s="374"/>
      <c r="AI33" s="374"/>
      <c r="AJ33" s="375"/>
      <c r="AK33" s="38"/>
      <c r="AL33" s="12" t="s">
        <v>97</v>
      </c>
      <c r="AM33" s="13"/>
      <c r="AN33" s="13"/>
      <c r="AO33" s="13"/>
      <c r="AP33" s="13"/>
      <c r="AQ33" s="13"/>
      <c r="AR33" s="13"/>
      <c r="AS33" s="13"/>
      <c r="AT33" s="13"/>
      <c r="AU33" s="13"/>
      <c r="AV33" s="13"/>
      <c r="AW33" s="37"/>
      <c r="AX33" s="12" t="s">
        <v>76</v>
      </c>
      <c r="AY33" s="128">
        <f aca="true" t="shared" si="10" ref="AY33:BI33">AY34+AY48+AY57+AY63</f>
        <v>22242.4359375</v>
      </c>
      <c r="AZ33" s="128">
        <f t="shared" si="10"/>
        <v>0</v>
      </c>
      <c r="BA33" s="128">
        <f t="shared" si="10"/>
        <v>1092.2839285714285</v>
      </c>
      <c r="BB33" s="128">
        <f t="shared" si="10"/>
        <v>0</v>
      </c>
      <c r="BC33" s="128">
        <f t="shared" si="10"/>
        <v>0</v>
      </c>
      <c r="BD33" s="128">
        <f t="shared" si="10"/>
        <v>0</v>
      </c>
      <c r="BE33" s="128">
        <f t="shared" si="10"/>
        <v>0</v>
      </c>
      <c r="BF33" s="128">
        <f t="shared" si="10"/>
        <v>30390.664285714287</v>
      </c>
      <c r="BG33" s="128">
        <f t="shared" si="10"/>
        <v>0</v>
      </c>
      <c r="BH33" s="128">
        <f t="shared" si="10"/>
        <v>0</v>
      </c>
      <c r="BI33" s="131">
        <f t="shared" si="10"/>
        <v>53725.38415178571</v>
      </c>
      <c r="BJ33" s="38"/>
      <c r="BK33" s="12" t="s">
        <v>76</v>
      </c>
      <c r="BL33" s="149">
        <f aca="true" t="shared" si="11" ref="BL33:BV33">BL34+BL48+BL57+BL63</f>
        <v>85810.20572507812</v>
      </c>
      <c r="BM33" s="149">
        <f t="shared" si="11"/>
        <v>0</v>
      </c>
      <c r="BN33" s="149">
        <f t="shared" si="11"/>
        <v>3415.539076125</v>
      </c>
      <c r="BO33" s="149">
        <f t="shared" si="11"/>
        <v>0</v>
      </c>
      <c r="BP33" s="149">
        <f t="shared" si="11"/>
        <v>0</v>
      </c>
      <c r="BQ33" s="149">
        <f t="shared" si="11"/>
        <v>0</v>
      </c>
      <c r="BR33" s="149">
        <f t="shared" si="11"/>
        <v>0</v>
      </c>
      <c r="BS33" s="149">
        <f t="shared" si="11"/>
        <v>145631.45544385712</v>
      </c>
      <c r="BT33" s="149" t="e">
        <f t="shared" si="11"/>
        <v>#DIV/0!</v>
      </c>
      <c r="BU33" s="149" t="e">
        <f t="shared" si="11"/>
        <v>#DIV/0!</v>
      </c>
      <c r="BV33" s="150" t="e">
        <f t="shared" si="11"/>
        <v>#DIV/0!</v>
      </c>
      <c r="BW33" s="192"/>
      <c r="BX33" s="193"/>
      <c r="BY33" s="194"/>
      <c r="BZ33" s="183"/>
      <c r="CA33" s="14"/>
    </row>
    <row r="34" spans="1:78" ht="12.75">
      <c r="A34" s="71" t="s">
        <v>22</v>
      </c>
      <c r="B34" s="72"/>
      <c r="C34" s="72"/>
      <c r="D34" s="65"/>
      <c r="E34" s="72"/>
      <c r="F34" s="72"/>
      <c r="G34" s="72"/>
      <c r="H34" s="72"/>
      <c r="I34" s="72"/>
      <c r="J34" s="72"/>
      <c r="K34" s="72"/>
      <c r="L34" s="71"/>
      <c r="M34" s="33"/>
      <c r="N34" s="72"/>
      <c r="O34" s="72"/>
      <c r="P34" s="65">
        <f>PMemission!P34*(P92)</f>
        <v>0</v>
      </c>
      <c r="Q34" s="72"/>
      <c r="R34" s="72"/>
      <c r="S34" s="72"/>
      <c r="T34" s="72"/>
      <c r="U34" s="72"/>
      <c r="V34" s="72"/>
      <c r="W34" s="72"/>
      <c r="X34" s="71"/>
      <c r="Y34" s="33"/>
      <c r="Z34" s="69"/>
      <c r="AA34" s="69"/>
      <c r="AB34" s="69"/>
      <c r="AC34" s="69"/>
      <c r="AD34" s="69"/>
      <c r="AE34" s="69"/>
      <c r="AF34" s="69"/>
      <c r="AG34" s="69"/>
      <c r="AH34" s="69"/>
      <c r="AI34" s="69"/>
      <c r="AJ34" s="69"/>
      <c r="AK34" s="33"/>
      <c r="AL34" s="5" t="s">
        <v>22</v>
      </c>
      <c r="AM34" s="15"/>
      <c r="AN34" s="15"/>
      <c r="AO34" s="15"/>
      <c r="AP34" s="15"/>
      <c r="AQ34" s="15"/>
      <c r="AR34" s="15"/>
      <c r="AS34" s="15"/>
      <c r="AT34" s="15"/>
      <c r="AU34" s="15"/>
      <c r="AV34" s="15"/>
      <c r="AW34" s="40"/>
      <c r="AX34" s="5" t="s">
        <v>22</v>
      </c>
      <c r="AY34" s="218">
        <f>SUM(AY35:AY47)</f>
        <v>9335.28359375</v>
      </c>
      <c r="AZ34" s="218">
        <f>SUM(AZ35:AZ47)</f>
        <v>0</v>
      </c>
      <c r="BA34" s="218">
        <f aca="true" t="shared" si="12" ref="BA34:BI34">SUM(BA35:BA47)</f>
        <v>605.98</v>
      </c>
      <c r="BB34" s="218">
        <f t="shared" si="12"/>
        <v>0</v>
      </c>
      <c r="BC34" s="218">
        <f t="shared" si="12"/>
        <v>0</v>
      </c>
      <c r="BD34" s="218">
        <f t="shared" si="12"/>
        <v>0</v>
      </c>
      <c r="BE34" s="218">
        <f t="shared" si="12"/>
        <v>0</v>
      </c>
      <c r="BF34" s="218">
        <f t="shared" si="12"/>
        <v>1318.7357142857143</v>
      </c>
      <c r="BG34" s="218">
        <f t="shared" si="12"/>
        <v>0</v>
      </c>
      <c r="BH34" s="218">
        <f t="shared" si="12"/>
        <v>0</v>
      </c>
      <c r="BI34" s="215">
        <f t="shared" si="12"/>
        <v>11259.999308035714</v>
      </c>
      <c r="BJ34" s="33"/>
      <c r="BK34" s="109" t="s">
        <v>22</v>
      </c>
      <c r="BL34" s="160">
        <f aca="true" t="shared" si="13" ref="BL34:BV34">SUM(BL35:BL47)</f>
        <v>36015.05734050781</v>
      </c>
      <c r="BM34" s="160">
        <f t="shared" si="13"/>
        <v>0</v>
      </c>
      <c r="BN34" s="160">
        <f t="shared" si="13"/>
        <v>1894.8812806</v>
      </c>
      <c r="BO34" s="160">
        <f t="shared" si="13"/>
        <v>0</v>
      </c>
      <c r="BP34" s="160">
        <f t="shared" si="13"/>
        <v>0</v>
      </c>
      <c r="BQ34" s="160">
        <f t="shared" si="13"/>
        <v>0</v>
      </c>
      <c r="BR34" s="160">
        <f t="shared" si="13"/>
        <v>0</v>
      </c>
      <c r="BS34" s="160">
        <f t="shared" si="13"/>
        <v>6319.355168142856</v>
      </c>
      <c r="BT34" s="160" t="e">
        <f t="shared" si="13"/>
        <v>#DIV/0!</v>
      </c>
      <c r="BU34" s="160" t="e">
        <f t="shared" si="13"/>
        <v>#DIV/0!</v>
      </c>
      <c r="BV34" s="158" t="e">
        <f t="shared" si="13"/>
        <v>#DIV/0!</v>
      </c>
      <c r="BW34" s="15" t="e">
        <f aca="true" t="shared" si="14" ref="BW34:BW67">100*BV34/BV$19</f>
        <v>#DIV/0!</v>
      </c>
      <c r="BX34" s="4" t="s">
        <v>110</v>
      </c>
      <c r="BY34" s="4">
        <v>21.094330710907403</v>
      </c>
      <c r="BZ34" t="s">
        <v>110</v>
      </c>
    </row>
    <row r="35" spans="1:78" ht="12.75">
      <c r="A35" s="64" t="s">
        <v>23</v>
      </c>
      <c r="B35" s="65">
        <f>PMemission!B35*(B93)</f>
        <v>108.00937499999999</v>
      </c>
      <c r="C35" s="65"/>
      <c r="D35" s="65">
        <f>PMemission!D35*(D93)</f>
        <v>4.7247619047619045</v>
      </c>
      <c r="E35" s="65"/>
      <c r="F35" s="65"/>
      <c r="G35" s="65"/>
      <c r="H35" s="65"/>
      <c r="I35" s="65">
        <f>PMemission!I35*(I93)</f>
        <v>3.514285714285714</v>
      </c>
      <c r="J35" s="65"/>
      <c r="K35" s="65"/>
      <c r="L35" s="71"/>
      <c r="M35" s="33"/>
      <c r="N35" s="72">
        <f>PMemission!N35*(N93)</f>
        <v>1645.4553222656248</v>
      </c>
      <c r="O35" s="65"/>
      <c r="P35" s="65">
        <f>PMemission!P35*(P93)</f>
        <v>119.96465773809523</v>
      </c>
      <c r="Q35" s="65"/>
      <c r="R35" s="65"/>
      <c r="S35" s="65"/>
      <c r="T35" s="65"/>
      <c r="U35" s="65">
        <f>PMemission!U35*(U93)</f>
        <v>0.9517857142857142</v>
      </c>
      <c r="V35" s="65"/>
      <c r="W35" s="65"/>
      <c r="X35" s="71"/>
      <c r="Y35" s="33"/>
      <c r="Z35" s="69"/>
      <c r="AA35" s="69"/>
      <c r="AB35" s="69"/>
      <c r="AC35" s="69"/>
      <c r="AD35" s="69"/>
      <c r="AE35" s="69"/>
      <c r="AF35" s="69"/>
      <c r="AG35" s="69"/>
      <c r="AH35" s="69"/>
      <c r="AI35" s="69"/>
      <c r="AJ35" s="69"/>
      <c r="AK35" s="33"/>
      <c r="AL35" s="3" t="s">
        <v>23</v>
      </c>
      <c r="AM35" s="30">
        <f>Mtoe!O35</f>
        <v>1</v>
      </c>
      <c r="AN35" s="30">
        <f>Mtoe!P35</f>
        <v>1</v>
      </c>
      <c r="AO35" s="30">
        <f>Mtoe!Q35</f>
        <v>1</v>
      </c>
      <c r="AP35" s="30">
        <f>Mtoe!R35</f>
        <v>1</v>
      </c>
      <c r="AQ35" s="30">
        <f>Mtoe!S35</f>
        <v>1</v>
      </c>
      <c r="AR35" s="30">
        <f>Mtoe!T35</f>
        <v>1</v>
      </c>
      <c r="AS35" s="30">
        <f>Mtoe!U35</f>
        <v>1</v>
      </c>
      <c r="AT35" s="30">
        <f>Mtoe!V35</f>
        <v>1</v>
      </c>
      <c r="AU35" s="30">
        <f>Mtoe!W35</f>
        <v>1</v>
      </c>
      <c r="AV35" s="30">
        <f>Mtoe!X35</f>
        <v>1</v>
      </c>
      <c r="AW35" s="36"/>
      <c r="AX35" s="3" t="s">
        <v>23</v>
      </c>
      <c r="AY35" s="209">
        <f aca="true" t="shared" si="15" ref="AY35:AY47">AM35*B35</f>
        <v>108.00937499999999</v>
      </c>
      <c r="AZ35" s="209"/>
      <c r="BA35" s="209">
        <f>AO35*D35</f>
        <v>4.7247619047619045</v>
      </c>
      <c r="BB35" s="209">
        <f>AP35*E35</f>
        <v>0</v>
      </c>
      <c r="BC35" s="209"/>
      <c r="BD35" s="209"/>
      <c r="BE35" s="209"/>
      <c r="BF35" s="209"/>
      <c r="BG35" s="209">
        <f>AU35*J35</f>
        <v>0</v>
      </c>
      <c r="BH35" s="209">
        <f>AV35*K35</f>
        <v>0</v>
      </c>
      <c r="BI35" s="215">
        <f t="shared" si="6"/>
        <v>112.7341369047619</v>
      </c>
      <c r="BJ35" s="33"/>
      <c r="BK35" s="110" t="s">
        <v>23</v>
      </c>
      <c r="BL35" s="157">
        <f aca="true" t="shared" si="16" ref="BL35:BS49">AY35*BL$6</f>
        <v>416.69476828124994</v>
      </c>
      <c r="BM35" s="157">
        <f t="shared" si="16"/>
        <v>0</v>
      </c>
      <c r="BN35" s="157">
        <f t="shared" si="16"/>
        <v>14.77418873333333</v>
      </c>
      <c r="BO35" s="157">
        <f t="shared" si="16"/>
        <v>0</v>
      </c>
      <c r="BP35" s="157"/>
      <c r="BQ35" s="157"/>
      <c r="BR35" s="157"/>
      <c r="BS35" s="157">
        <f t="shared" si="16"/>
        <v>0</v>
      </c>
      <c r="BT35" s="157" t="e">
        <f>BT$32*BG35/BG$32</f>
        <v>#DIV/0!</v>
      </c>
      <c r="BU35" s="157" t="e">
        <f>BU$32*BH35/BH$32</f>
        <v>#DIV/0!</v>
      </c>
      <c r="BV35" s="158" t="e">
        <f aca="true" t="shared" si="17" ref="BV35:BV47">SUM(BL35:BU35)</f>
        <v>#DIV/0!</v>
      </c>
      <c r="BW35" s="4" t="e">
        <f t="shared" si="14"/>
        <v>#DIV/0!</v>
      </c>
      <c r="BX35" s="4" t="s">
        <v>110</v>
      </c>
      <c r="BY35" s="4">
        <v>3.0473360039843156</v>
      </c>
      <c r="BZ35" t="s">
        <v>110</v>
      </c>
    </row>
    <row r="36" spans="1:78" ht="12.75">
      <c r="A36" s="64" t="s">
        <v>24</v>
      </c>
      <c r="B36" s="65">
        <f>PMemission!B36*(B94)</f>
        <v>255.609375</v>
      </c>
      <c r="C36" s="65"/>
      <c r="D36" s="65">
        <f>PMemission!D36*(D94)</f>
        <v>34.55714285714286</v>
      </c>
      <c r="E36" s="65"/>
      <c r="F36" s="65"/>
      <c r="G36" s="65"/>
      <c r="H36" s="65"/>
      <c r="I36" s="65">
        <f>PMemission!I36*(I94)</f>
        <v>43.05</v>
      </c>
      <c r="J36" s="65"/>
      <c r="K36" s="65"/>
      <c r="L36" s="71"/>
      <c r="M36" s="33"/>
      <c r="N36" s="65">
        <f>PMemission!N36*(N94)</f>
        <v>163.17919921875003</v>
      </c>
      <c r="O36" s="65"/>
      <c r="P36" s="65">
        <f>PMemission!P36*(P94)</f>
        <v>877.4274553571429</v>
      </c>
      <c r="Q36" s="65"/>
      <c r="R36" s="65"/>
      <c r="S36" s="65"/>
      <c r="T36" s="65"/>
      <c r="U36" s="65">
        <f>PMemission!U36*(U94)</f>
        <v>11.659374999999999</v>
      </c>
      <c r="V36" s="65"/>
      <c r="W36" s="65"/>
      <c r="X36" s="71"/>
      <c r="Y36" s="33"/>
      <c r="Z36" s="69"/>
      <c r="AA36" s="69"/>
      <c r="AB36" s="69"/>
      <c r="AC36" s="69"/>
      <c r="AD36" s="69"/>
      <c r="AE36" s="69"/>
      <c r="AF36" s="69"/>
      <c r="AG36" s="69"/>
      <c r="AH36" s="69"/>
      <c r="AI36" s="69"/>
      <c r="AJ36" s="69"/>
      <c r="AK36" s="33"/>
      <c r="AL36" s="3" t="s">
        <v>24</v>
      </c>
      <c r="AM36" s="30">
        <f>Mtoe!O36</f>
        <v>1</v>
      </c>
      <c r="AN36" s="30">
        <f>Mtoe!P36</f>
        <v>1</v>
      </c>
      <c r="AO36" s="30">
        <f>Mtoe!Q36</f>
        <v>1</v>
      </c>
      <c r="AP36" s="30">
        <f>Mtoe!R36</f>
        <v>1</v>
      </c>
      <c r="AQ36" s="30">
        <f>Mtoe!S36</f>
        <v>1</v>
      </c>
      <c r="AR36" s="30">
        <f>Mtoe!T36</f>
        <v>1</v>
      </c>
      <c r="AS36" s="30">
        <f>Mtoe!U36</f>
        <v>1</v>
      </c>
      <c r="AT36" s="30">
        <f>Mtoe!V36</f>
        <v>1</v>
      </c>
      <c r="AU36" s="30">
        <f>Mtoe!W36</f>
        <v>1</v>
      </c>
      <c r="AV36" s="30">
        <f>Mtoe!X36</f>
        <v>1</v>
      </c>
      <c r="AW36" s="36"/>
      <c r="AX36" s="3" t="s">
        <v>24</v>
      </c>
      <c r="AY36" s="209">
        <f t="shared" si="15"/>
        <v>255.609375</v>
      </c>
      <c r="AZ36" s="209">
        <f>AN36*C36</f>
        <v>0</v>
      </c>
      <c r="BA36" s="209">
        <f>AO36*D36</f>
        <v>34.55714285714286</v>
      </c>
      <c r="BB36" s="209">
        <f>AP36*E36</f>
        <v>0</v>
      </c>
      <c r="BC36" s="209"/>
      <c r="BD36" s="209"/>
      <c r="BE36" s="209"/>
      <c r="BF36" s="209">
        <f>AT36*I36</f>
        <v>43.05</v>
      </c>
      <c r="BG36" s="209">
        <f>AU36*J36</f>
        <v>0</v>
      </c>
      <c r="BH36" s="209">
        <f>AV36*K36</f>
        <v>0</v>
      </c>
      <c r="BI36" s="215">
        <f t="shared" si="6"/>
        <v>333.2165178571429</v>
      </c>
      <c r="BJ36" s="33"/>
      <c r="BK36" s="110" t="s">
        <v>24</v>
      </c>
      <c r="BL36" s="157">
        <f t="shared" si="16"/>
        <v>986.1281882812499</v>
      </c>
      <c r="BM36" s="157">
        <f t="shared" si="16"/>
        <v>0</v>
      </c>
      <c r="BN36" s="157">
        <f t="shared" si="16"/>
        <v>108.05914899999999</v>
      </c>
      <c r="BO36" s="157">
        <f t="shared" si="16"/>
        <v>0</v>
      </c>
      <c r="BP36" s="157"/>
      <c r="BQ36" s="157"/>
      <c r="BR36" s="157"/>
      <c r="BS36" s="157">
        <f t="shared" si="16"/>
        <v>206.29473899999996</v>
      </c>
      <c r="BT36" s="157" t="e">
        <f aca="true" t="shared" si="18" ref="BT36:BU47">BT$32*BG36/BG$32</f>
        <v>#DIV/0!</v>
      </c>
      <c r="BU36" s="157" t="e">
        <f t="shared" si="18"/>
        <v>#DIV/0!</v>
      </c>
      <c r="BV36" s="158" t="e">
        <f t="shared" si="17"/>
        <v>#DIV/0!</v>
      </c>
      <c r="BW36" s="4" t="e">
        <f t="shared" si="14"/>
        <v>#DIV/0!</v>
      </c>
      <c r="BX36" s="4" t="s">
        <v>110</v>
      </c>
      <c r="BY36" s="4">
        <v>3.524979961153192</v>
      </c>
      <c r="BZ36" t="s">
        <v>110</v>
      </c>
    </row>
    <row r="37" spans="1:78" ht="12.75">
      <c r="A37" s="64" t="s">
        <v>25</v>
      </c>
      <c r="B37" s="65">
        <f>PMemission!B37*(B95)</f>
        <v>72.87109375</v>
      </c>
      <c r="C37" s="65"/>
      <c r="D37" s="65">
        <f>PMemission!D37*(D95)</f>
        <v>4.217142857142857</v>
      </c>
      <c r="E37" s="65"/>
      <c r="F37" s="65"/>
      <c r="G37" s="65"/>
      <c r="H37" s="65"/>
      <c r="I37" s="65">
        <f>PMemission!I37*(I95)</f>
        <v>2.6357142857142852</v>
      </c>
      <c r="J37" s="65"/>
      <c r="K37" s="65"/>
      <c r="L37" s="71"/>
      <c r="M37" s="33"/>
      <c r="N37" s="65">
        <f>PMemission!N37*(N95)</f>
        <v>46.52038574218751</v>
      </c>
      <c r="O37" s="65"/>
      <c r="P37" s="65">
        <f>PMemission!P37*(P95)</f>
        <v>107.07589285714286</v>
      </c>
      <c r="Q37" s="65"/>
      <c r="R37" s="65"/>
      <c r="S37" s="65"/>
      <c r="T37" s="65"/>
      <c r="U37" s="65">
        <f>PMemission!U37*(U95)</f>
        <v>0.7138392857142856</v>
      </c>
      <c r="V37" s="65"/>
      <c r="W37" s="65"/>
      <c r="X37" s="71"/>
      <c r="Y37" s="33"/>
      <c r="Z37" s="69"/>
      <c r="AA37" s="69"/>
      <c r="AB37" s="69"/>
      <c r="AC37" s="69"/>
      <c r="AD37" s="69"/>
      <c r="AE37" s="69"/>
      <c r="AF37" s="69"/>
      <c r="AG37" s="69"/>
      <c r="AH37" s="69"/>
      <c r="AI37" s="69"/>
      <c r="AJ37" s="69"/>
      <c r="AK37" s="33"/>
      <c r="AL37" s="3" t="s">
        <v>25</v>
      </c>
      <c r="AM37" s="30">
        <f>Mtoe!O37</f>
        <v>1</v>
      </c>
      <c r="AN37" s="30">
        <f>Mtoe!P37</f>
        <v>1</v>
      </c>
      <c r="AO37" s="30">
        <f>Mtoe!Q37</f>
        <v>1</v>
      </c>
      <c r="AP37" s="30">
        <f>Mtoe!R37</f>
        <v>1</v>
      </c>
      <c r="AQ37" s="30">
        <f>Mtoe!S37</f>
        <v>1</v>
      </c>
      <c r="AR37" s="30">
        <f>Mtoe!T37</f>
        <v>1</v>
      </c>
      <c r="AS37" s="30">
        <f>Mtoe!U37</f>
        <v>1</v>
      </c>
      <c r="AT37" s="30">
        <f>Mtoe!V37</f>
        <v>1</v>
      </c>
      <c r="AU37" s="30">
        <f>Mtoe!W37</f>
        <v>1</v>
      </c>
      <c r="AV37" s="30">
        <f>Mtoe!X37</f>
        <v>1</v>
      </c>
      <c r="AW37" s="36"/>
      <c r="AX37" s="3" t="s">
        <v>25</v>
      </c>
      <c r="AY37" s="209">
        <f t="shared" si="15"/>
        <v>72.87109375</v>
      </c>
      <c r="AZ37" s="209"/>
      <c r="BA37" s="209">
        <f>AO37*D37</f>
        <v>4.217142857142857</v>
      </c>
      <c r="BB37" s="209">
        <f>AP37*E37</f>
        <v>0</v>
      </c>
      <c r="BC37" s="209"/>
      <c r="BD37" s="209"/>
      <c r="BE37" s="209"/>
      <c r="BF37" s="209"/>
      <c r="BG37" s="209">
        <f>AU37*J37</f>
        <v>0</v>
      </c>
      <c r="BH37" s="209">
        <f>AV37*K37</f>
        <v>0</v>
      </c>
      <c r="BI37" s="215">
        <f t="shared" si="6"/>
        <v>77.08823660714286</v>
      </c>
      <c r="BJ37" s="33"/>
      <c r="BK37" s="110" t="s">
        <v>25</v>
      </c>
      <c r="BL37" s="157">
        <f t="shared" si="16"/>
        <v>281.1330361328125</v>
      </c>
      <c r="BM37" s="157">
        <f t="shared" si="16"/>
        <v>0</v>
      </c>
      <c r="BN37" s="157">
        <f t="shared" si="16"/>
        <v>13.186879199999998</v>
      </c>
      <c r="BO37" s="157">
        <f t="shared" si="16"/>
        <v>0</v>
      </c>
      <c r="BP37" s="157"/>
      <c r="BQ37" s="157"/>
      <c r="BR37" s="157"/>
      <c r="BS37" s="157">
        <f t="shared" si="16"/>
        <v>0</v>
      </c>
      <c r="BT37" s="157" t="e">
        <f t="shared" si="18"/>
        <v>#DIV/0!</v>
      </c>
      <c r="BU37" s="157" t="e">
        <f t="shared" si="18"/>
        <v>#DIV/0!</v>
      </c>
      <c r="BV37" s="158" t="e">
        <f t="shared" si="17"/>
        <v>#DIV/0!</v>
      </c>
      <c r="BW37" s="4" t="e">
        <f t="shared" si="14"/>
        <v>#DIV/0!</v>
      </c>
      <c r="BX37" s="4" t="s">
        <v>110</v>
      </c>
      <c r="BY37" s="4">
        <v>1.080858284388233</v>
      </c>
      <c r="BZ37" t="s">
        <v>110</v>
      </c>
    </row>
    <row r="38" spans="1:78" ht="12.75">
      <c r="A38" s="64" t="s">
        <v>26</v>
      </c>
      <c r="B38" s="65">
        <f>PMemission!B38*(B96)</f>
        <v>149.778125</v>
      </c>
      <c r="C38" s="65"/>
      <c r="D38" s="65">
        <f>PMemission!D38*(D96)</f>
        <v>43.06952380952381</v>
      </c>
      <c r="E38" s="65"/>
      <c r="F38" s="65"/>
      <c r="G38" s="65"/>
      <c r="H38" s="65"/>
      <c r="I38" s="65">
        <f>PMemission!I38*(I96)</f>
        <v>132.6642857142857</v>
      </c>
      <c r="J38" s="65"/>
      <c r="K38" s="65"/>
      <c r="L38" s="71"/>
      <c r="M38" s="33"/>
      <c r="N38" s="65">
        <f>PMemission!N38*(N96)</f>
        <v>478.08642578125</v>
      </c>
      <c r="O38" s="65"/>
      <c r="P38" s="72">
        <f>PMemission!P38*(P96)</f>
        <v>1093.5621279761904</v>
      </c>
      <c r="Q38" s="65"/>
      <c r="R38" s="65"/>
      <c r="S38" s="65"/>
      <c r="T38" s="65"/>
      <c r="U38" s="65">
        <f>PMemission!U38*(U96)</f>
        <v>35.92991071428571</v>
      </c>
      <c r="V38" s="65"/>
      <c r="W38" s="65"/>
      <c r="X38" s="71"/>
      <c r="Y38" s="33"/>
      <c r="Z38" s="69"/>
      <c r="AA38" s="69"/>
      <c r="AB38" s="69"/>
      <c r="AC38" s="69"/>
      <c r="AD38" s="69"/>
      <c r="AE38" s="69"/>
      <c r="AF38" s="69"/>
      <c r="AG38" s="69"/>
      <c r="AH38" s="69"/>
      <c r="AI38" s="69"/>
      <c r="AJ38" s="69"/>
      <c r="AK38" s="33"/>
      <c r="AL38" s="3" t="s">
        <v>26</v>
      </c>
      <c r="AM38" s="30">
        <f>Mtoe!O38</f>
        <v>1</v>
      </c>
      <c r="AN38" s="30">
        <f>Mtoe!P38</f>
        <v>1</v>
      </c>
      <c r="AO38" s="30">
        <f>Mtoe!Q38</f>
        <v>1</v>
      </c>
      <c r="AP38" s="30">
        <f>Mtoe!R38</f>
        <v>1</v>
      </c>
      <c r="AQ38" s="30">
        <f>Mtoe!S38</f>
        <v>1</v>
      </c>
      <c r="AR38" s="30">
        <f>Mtoe!T38</f>
        <v>1</v>
      </c>
      <c r="AS38" s="30">
        <f>Mtoe!U38</f>
        <v>1</v>
      </c>
      <c r="AT38" s="30">
        <f>Mtoe!V38</f>
        <v>1</v>
      </c>
      <c r="AU38" s="30">
        <f>Mtoe!W38</f>
        <v>1</v>
      </c>
      <c r="AV38" s="30">
        <f>Mtoe!X38</f>
        <v>1</v>
      </c>
      <c r="AW38" s="36"/>
      <c r="AX38" s="3" t="s">
        <v>26</v>
      </c>
      <c r="AY38" s="209">
        <f t="shared" si="15"/>
        <v>149.778125</v>
      </c>
      <c r="AZ38" s="209"/>
      <c r="BA38" s="209">
        <f>AO38*D38</f>
        <v>43.06952380952381</v>
      </c>
      <c r="BB38" s="209">
        <f>AP38*E38</f>
        <v>0</v>
      </c>
      <c r="BC38" s="209"/>
      <c r="BD38" s="209"/>
      <c r="BE38" s="209"/>
      <c r="BF38" s="209">
        <f>AT38*I38</f>
        <v>132.6642857142857</v>
      </c>
      <c r="BG38" s="209">
        <f>AU38*J38</f>
        <v>0</v>
      </c>
      <c r="BH38" s="209">
        <f>AV38*K38</f>
        <v>0</v>
      </c>
      <c r="BI38" s="215">
        <f t="shared" si="6"/>
        <v>325.5119345238095</v>
      </c>
      <c r="BJ38" s="33"/>
      <c r="BK38" s="110" t="s">
        <v>26</v>
      </c>
      <c r="BL38" s="157">
        <f t="shared" si="16"/>
        <v>577.83651734375</v>
      </c>
      <c r="BM38" s="157">
        <f t="shared" si="16"/>
        <v>0</v>
      </c>
      <c r="BN38" s="157">
        <f t="shared" si="16"/>
        <v>134.67710886666666</v>
      </c>
      <c r="BO38" s="157">
        <f t="shared" si="16"/>
        <v>0</v>
      </c>
      <c r="BP38" s="157"/>
      <c r="BQ38" s="157"/>
      <c r="BR38" s="157"/>
      <c r="BS38" s="157">
        <f t="shared" si="16"/>
        <v>635.7246038571428</v>
      </c>
      <c r="BT38" s="157" t="e">
        <f t="shared" si="18"/>
        <v>#DIV/0!</v>
      </c>
      <c r="BU38" s="157" t="e">
        <f t="shared" si="18"/>
        <v>#DIV/0!</v>
      </c>
      <c r="BV38" s="158" t="e">
        <f t="shared" si="17"/>
        <v>#DIV/0!</v>
      </c>
      <c r="BW38" s="4" t="e">
        <f t="shared" si="14"/>
        <v>#DIV/0!</v>
      </c>
      <c r="BX38" s="4" t="s">
        <v>110</v>
      </c>
      <c r="BY38" s="4">
        <v>2.743510990340653</v>
      </c>
      <c r="BZ38" t="s">
        <v>110</v>
      </c>
    </row>
    <row r="39" spans="1:78" ht="12.75">
      <c r="A39" s="64" t="s">
        <v>27</v>
      </c>
      <c r="B39" s="65">
        <f>PMemission!B39*(B97)</f>
        <v>43.72265625000001</v>
      </c>
      <c r="C39" s="65"/>
      <c r="D39" s="65">
        <f>PMemission!D39*(D97)</f>
        <v>7.731428571428572</v>
      </c>
      <c r="E39" s="65"/>
      <c r="F39" s="65"/>
      <c r="G39" s="65"/>
      <c r="H39" s="65"/>
      <c r="I39" s="65"/>
      <c r="J39" s="65"/>
      <c r="K39" s="65"/>
      <c r="L39" s="71"/>
      <c r="M39" s="33"/>
      <c r="N39" s="65">
        <f>PMemission!N39*(N97)</f>
        <v>9.304077148437502</v>
      </c>
      <c r="O39" s="65"/>
      <c r="P39" s="65">
        <f>PMemission!P39*(P97)</f>
        <v>65.43526785714286</v>
      </c>
      <c r="Q39" s="65"/>
      <c r="R39" s="65"/>
      <c r="S39" s="65"/>
      <c r="T39" s="65"/>
      <c r="U39" s="65"/>
      <c r="V39" s="65"/>
      <c r="W39" s="65"/>
      <c r="X39" s="71"/>
      <c r="Y39" s="33"/>
      <c r="Z39" s="69"/>
      <c r="AA39" s="69"/>
      <c r="AB39" s="69"/>
      <c r="AC39" s="69"/>
      <c r="AD39" s="69"/>
      <c r="AE39" s="69"/>
      <c r="AF39" s="69"/>
      <c r="AG39" s="69"/>
      <c r="AH39" s="69"/>
      <c r="AI39" s="69"/>
      <c r="AJ39" s="69"/>
      <c r="AK39" s="33"/>
      <c r="AL39" s="3" t="s">
        <v>27</v>
      </c>
      <c r="AM39" s="30">
        <f>Mtoe!O39</f>
        <v>1</v>
      </c>
      <c r="AN39" s="30">
        <f>Mtoe!P39</f>
        <v>1</v>
      </c>
      <c r="AO39" s="30">
        <f>Mtoe!Q39</f>
        <v>1</v>
      </c>
      <c r="AP39" s="30">
        <f>Mtoe!R39</f>
        <v>1</v>
      </c>
      <c r="AQ39" s="30">
        <f>Mtoe!S39</f>
        <v>1</v>
      </c>
      <c r="AR39" s="30">
        <f>Mtoe!T39</f>
        <v>1</v>
      </c>
      <c r="AS39" s="30">
        <f>Mtoe!U39</f>
        <v>1</v>
      </c>
      <c r="AT39" s="30">
        <f>Mtoe!V39</f>
        <v>1</v>
      </c>
      <c r="AU39" s="30">
        <f>Mtoe!W39</f>
        <v>1</v>
      </c>
      <c r="AV39" s="30">
        <f>Mtoe!X39</f>
        <v>1</v>
      </c>
      <c r="AW39" s="36"/>
      <c r="AX39" s="3" t="s">
        <v>27</v>
      </c>
      <c r="AY39" s="209">
        <f t="shared" si="15"/>
        <v>43.72265625000001</v>
      </c>
      <c r="AZ39" s="209"/>
      <c r="BA39" s="209">
        <f>AO39*D39</f>
        <v>7.731428571428572</v>
      </c>
      <c r="BB39" s="209">
        <f>AP39*E39</f>
        <v>0</v>
      </c>
      <c r="BC39" s="209"/>
      <c r="BD39" s="209"/>
      <c r="BE39" s="209"/>
      <c r="BF39" s="209"/>
      <c r="BG39" s="209">
        <f>AU39*J39</f>
        <v>0</v>
      </c>
      <c r="BH39" s="209">
        <f>AV39*K39</f>
        <v>0</v>
      </c>
      <c r="BI39" s="215">
        <f t="shared" si="6"/>
        <v>51.45408482142858</v>
      </c>
      <c r="BJ39" s="33"/>
      <c r="BK39" s="110" t="s">
        <v>27</v>
      </c>
      <c r="BL39" s="157">
        <f t="shared" si="16"/>
        <v>168.6798216796875</v>
      </c>
      <c r="BM39" s="157">
        <f t="shared" si="16"/>
        <v>0</v>
      </c>
      <c r="BN39" s="157">
        <f t="shared" si="16"/>
        <v>24.175945199999997</v>
      </c>
      <c r="BO39" s="157">
        <f t="shared" si="16"/>
        <v>0</v>
      </c>
      <c r="BP39" s="157"/>
      <c r="BQ39" s="157"/>
      <c r="BR39" s="157"/>
      <c r="BS39" s="157">
        <f t="shared" si="16"/>
        <v>0</v>
      </c>
      <c r="BT39" s="157" t="e">
        <f t="shared" si="18"/>
        <v>#DIV/0!</v>
      </c>
      <c r="BU39" s="157" t="e">
        <f t="shared" si="18"/>
        <v>#DIV/0!</v>
      </c>
      <c r="BV39" s="158" t="e">
        <f t="shared" si="17"/>
        <v>#DIV/0!</v>
      </c>
      <c r="BW39" s="4" t="e">
        <f t="shared" si="14"/>
        <v>#DIV/0!</v>
      </c>
      <c r="BX39" s="4" t="s">
        <v>110</v>
      </c>
      <c r="BY39" s="4">
        <v>0.5629021823454292</v>
      </c>
      <c r="BZ39" t="s">
        <v>110</v>
      </c>
    </row>
    <row r="40" spans="1:78" ht="12.75">
      <c r="A40" s="64" t="s">
        <v>28</v>
      </c>
      <c r="B40" s="65">
        <f>PMemission!B40*(B98)</f>
        <v>77.35546875</v>
      </c>
      <c r="C40" s="65"/>
      <c r="D40" s="65">
        <f>PMemission!D40*(D98)</f>
        <v>27.99714285714286</v>
      </c>
      <c r="E40" s="65"/>
      <c r="F40" s="65"/>
      <c r="G40" s="65"/>
      <c r="H40" s="65"/>
      <c r="I40" s="65">
        <f>PMemission!I40*(I98)</f>
        <v>7.907142857142856</v>
      </c>
      <c r="J40" s="65"/>
      <c r="K40" s="65"/>
      <c r="L40" s="71"/>
      <c r="M40" s="33"/>
      <c r="N40" s="65">
        <f>PMemission!N40*(N98)</f>
        <v>16.461059570312504</v>
      </c>
      <c r="O40" s="65"/>
      <c r="P40" s="65">
        <f>PMemission!P40*(P98)</f>
        <v>236.95498511904765</v>
      </c>
      <c r="Q40" s="65"/>
      <c r="R40" s="65"/>
      <c r="S40" s="65"/>
      <c r="T40" s="65"/>
      <c r="U40" s="65">
        <f>PMemission!U40*(U98)</f>
        <v>0.7138392857142856</v>
      </c>
      <c r="V40" s="65"/>
      <c r="W40" s="65"/>
      <c r="X40" s="71"/>
      <c r="Y40" s="33"/>
      <c r="Z40" s="69"/>
      <c r="AA40" s="69"/>
      <c r="AB40" s="69"/>
      <c r="AC40" s="69"/>
      <c r="AD40" s="69"/>
      <c r="AE40" s="69"/>
      <c r="AF40" s="69"/>
      <c r="AG40" s="69"/>
      <c r="AH40" s="69"/>
      <c r="AI40" s="69"/>
      <c r="AJ40" s="69"/>
      <c r="AK40" s="33"/>
      <c r="AL40" s="3" t="s">
        <v>28</v>
      </c>
      <c r="AM40" s="30">
        <f>Mtoe!O40</f>
        <v>1</v>
      </c>
      <c r="AN40" s="30">
        <f>Mtoe!P40</f>
        <v>1</v>
      </c>
      <c r="AO40" s="30">
        <f>Mtoe!Q40</f>
        <v>1</v>
      </c>
      <c r="AP40" s="30">
        <f>Mtoe!R40</f>
        <v>1</v>
      </c>
      <c r="AQ40" s="30">
        <f>Mtoe!S40</f>
        <v>1</v>
      </c>
      <c r="AR40" s="30">
        <f>Mtoe!T40</f>
        <v>1</v>
      </c>
      <c r="AS40" s="30">
        <f>Mtoe!U40</f>
        <v>1</v>
      </c>
      <c r="AT40" s="30">
        <f>Mtoe!V40</f>
        <v>1</v>
      </c>
      <c r="AU40" s="30">
        <f>Mtoe!W40</f>
        <v>1</v>
      </c>
      <c r="AV40" s="30">
        <f>Mtoe!X40</f>
        <v>1</v>
      </c>
      <c r="AW40" s="36"/>
      <c r="AX40" s="3" t="s">
        <v>28</v>
      </c>
      <c r="AY40" s="209">
        <f t="shared" si="15"/>
        <v>77.35546875</v>
      </c>
      <c r="AZ40" s="209"/>
      <c r="BA40" s="209">
        <f>AO40*D40</f>
        <v>27.99714285714286</v>
      </c>
      <c r="BB40" s="209">
        <f>AP40*E40</f>
        <v>0</v>
      </c>
      <c r="BC40" s="209"/>
      <c r="BD40" s="209"/>
      <c r="BE40" s="209"/>
      <c r="BF40" s="209">
        <f>AT40*I40</f>
        <v>7.907142857142856</v>
      </c>
      <c r="BG40" s="209">
        <f>AU40*J40</f>
        <v>0</v>
      </c>
      <c r="BH40" s="209">
        <f>AV40*K40</f>
        <v>0</v>
      </c>
      <c r="BI40" s="215">
        <f t="shared" si="6"/>
        <v>113.25975446428572</v>
      </c>
      <c r="BJ40" s="33"/>
      <c r="BK40" s="110" t="s">
        <v>28</v>
      </c>
      <c r="BL40" s="157">
        <f t="shared" si="16"/>
        <v>298.43353066406246</v>
      </c>
      <c r="BM40" s="157">
        <f t="shared" si="16"/>
        <v>0</v>
      </c>
      <c r="BN40" s="157">
        <f t="shared" si="16"/>
        <v>87.5462258</v>
      </c>
      <c r="BO40" s="157">
        <f t="shared" si="16"/>
        <v>0</v>
      </c>
      <c r="BP40" s="157"/>
      <c r="BQ40" s="157"/>
      <c r="BR40" s="157"/>
      <c r="BS40" s="157">
        <f t="shared" si="16"/>
        <v>37.89087042857142</v>
      </c>
      <c r="BT40" s="157" t="e">
        <f t="shared" si="18"/>
        <v>#DIV/0!</v>
      </c>
      <c r="BU40" s="157" t="e">
        <f t="shared" si="18"/>
        <v>#DIV/0!</v>
      </c>
      <c r="BV40" s="158" t="e">
        <f t="shared" si="17"/>
        <v>#DIV/0!</v>
      </c>
      <c r="BW40" s="4" t="e">
        <f t="shared" si="14"/>
        <v>#DIV/0!</v>
      </c>
      <c r="BX40" s="4" t="s">
        <v>110</v>
      </c>
      <c r="BY40" s="4">
        <v>1.3749365515447527</v>
      </c>
      <c r="BZ40" t="s">
        <v>110</v>
      </c>
    </row>
    <row r="41" spans="1:78" ht="12.75">
      <c r="A41" s="64" t="s">
        <v>29</v>
      </c>
      <c r="B41" s="65">
        <f>PMemission!B41*(B99)</f>
        <v>17.9375</v>
      </c>
      <c r="C41" s="65"/>
      <c r="D41" s="65">
        <f>PMemission!D41*(D99)</f>
        <v>3.162857142857143</v>
      </c>
      <c r="E41" s="65"/>
      <c r="F41" s="65"/>
      <c r="G41" s="65"/>
      <c r="H41" s="65"/>
      <c r="I41" s="65"/>
      <c r="J41" s="65"/>
      <c r="K41" s="65"/>
      <c r="L41" s="71"/>
      <c r="M41" s="33"/>
      <c r="N41" s="65">
        <f>PMemission!N41*(N99)</f>
        <v>11.451171875</v>
      </c>
      <c r="O41" s="65"/>
      <c r="P41" s="65">
        <f>PMemission!P41*(P99)</f>
        <v>80.30691964285714</v>
      </c>
      <c r="Q41" s="65"/>
      <c r="R41" s="65"/>
      <c r="S41" s="65"/>
      <c r="T41" s="65"/>
      <c r="U41" s="65"/>
      <c r="V41" s="65"/>
      <c r="W41" s="65"/>
      <c r="X41" s="71"/>
      <c r="Y41" s="33"/>
      <c r="Z41" s="69"/>
      <c r="AA41" s="69"/>
      <c r="AB41" s="69"/>
      <c r="AC41" s="69"/>
      <c r="AD41" s="69"/>
      <c r="AE41" s="69"/>
      <c r="AF41" s="69"/>
      <c r="AG41" s="69"/>
      <c r="AH41" s="69"/>
      <c r="AI41" s="69"/>
      <c r="AJ41" s="69"/>
      <c r="AK41" s="33"/>
      <c r="AL41" s="3" t="s">
        <v>29</v>
      </c>
      <c r="AM41" s="30">
        <f>Mtoe!O41</f>
        <v>1</v>
      </c>
      <c r="AN41" s="30">
        <f>Mtoe!P41</f>
        <v>1</v>
      </c>
      <c r="AO41" s="30">
        <f>Mtoe!Q41</f>
        <v>1</v>
      </c>
      <c r="AP41" s="30">
        <f>Mtoe!R41</f>
        <v>1</v>
      </c>
      <c r="AQ41" s="30">
        <f>Mtoe!S41</f>
        <v>1</v>
      </c>
      <c r="AR41" s="30">
        <f>Mtoe!T41</f>
        <v>1</v>
      </c>
      <c r="AS41" s="30">
        <f>Mtoe!U41</f>
        <v>1</v>
      </c>
      <c r="AT41" s="30">
        <f>Mtoe!V41</f>
        <v>1</v>
      </c>
      <c r="AU41" s="30">
        <f>Mtoe!W41</f>
        <v>1</v>
      </c>
      <c r="AV41" s="30">
        <f>Mtoe!X41</f>
        <v>1</v>
      </c>
      <c r="AW41" s="36"/>
      <c r="AX41" s="3" t="s">
        <v>29</v>
      </c>
      <c r="AY41" s="209">
        <f t="shared" si="15"/>
        <v>17.9375</v>
      </c>
      <c r="AZ41" s="209"/>
      <c r="BA41" s="209">
        <f>AO41*D41</f>
        <v>3.162857142857143</v>
      </c>
      <c r="BB41" s="209">
        <f>AP41*E41</f>
        <v>0</v>
      </c>
      <c r="BC41" s="209"/>
      <c r="BD41" s="209"/>
      <c r="BE41" s="209"/>
      <c r="BF41" s="209"/>
      <c r="BG41" s="209">
        <f>AU41*J41</f>
        <v>0</v>
      </c>
      <c r="BH41" s="209">
        <f>AV41*K41</f>
        <v>0</v>
      </c>
      <c r="BI41" s="215">
        <f t="shared" si="6"/>
        <v>21.100357142857142</v>
      </c>
      <c r="BJ41" s="33"/>
      <c r="BK41" s="110" t="s">
        <v>29</v>
      </c>
      <c r="BL41" s="157">
        <f t="shared" si="16"/>
        <v>69.201978125</v>
      </c>
      <c r="BM41" s="157">
        <f t="shared" si="16"/>
        <v>0</v>
      </c>
      <c r="BN41" s="157">
        <f t="shared" si="16"/>
        <v>9.890159399999998</v>
      </c>
      <c r="BO41" s="157">
        <f t="shared" si="16"/>
        <v>0</v>
      </c>
      <c r="BP41" s="157"/>
      <c r="BQ41" s="157"/>
      <c r="BR41" s="157"/>
      <c r="BS41" s="157">
        <f t="shared" si="16"/>
        <v>0</v>
      </c>
      <c r="BT41" s="157" t="e">
        <f t="shared" si="18"/>
        <v>#DIV/0!</v>
      </c>
      <c r="BU41" s="157" t="e">
        <f t="shared" si="18"/>
        <v>#DIV/0!</v>
      </c>
      <c r="BV41" s="158" t="e">
        <f t="shared" si="17"/>
        <v>#DIV/0!</v>
      </c>
      <c r="BW41" s="4" t="e">
        <f t="shared" si="14"/>
        <v>#DIV/0!</v>
      </c>
      <c r="BX41" s="4" t="s">
        <v>110</v>
      </c>
      <c r="BY41" s="4">
        <v>0.2335041742683908</v>
      </c>
      <c r="BZ41" t="s">
        <v>110</v>
      </c>
    </row>
    <row r="42" spans="1:78" ht="12.75">
      <c r="A42" s="64" t="s">
        <v>30</v>
      </c>
      <c r="B42" s="65">
        <f>PMemission!B42*(B100)</f>
        <v>760.1015624999999</v>
      </c>
      <c r="C42" s="65"/>
      <c r="D42" s="65">
        <f>PMemission!D42*(D100)</f>
        <v>45.68571428571428</v>
      </c>
      <c r="E42" s="65"/>
      <c r="F42" s="65"/>
      <c r="G42" s="65"/>
      <c r="H42" s="65"/>
      <c r="I42" s="65">
        <f>PMemission!I42*(I100)</f>
        <v>237.21428571428572</v>
      </c>
      <c r="J42" s="65"/>
      <c r="K42" s="65"/>
      <c r="L42" s="71"/>
      <c r="M42" s="33"/>
      <c r="N42" s="65">
        <f>PMemission!N42*(N100)</f>
        <v>161.747802734375</v>
      </c>
      <c r="O42" s="65"/>
      <c r="P42" s="65">
        <f>PMemission!P42*(P100)</f>
        <v>386.6629464285714</v>
      </c>
      <c r="Q42" s="65"/>
      <c r="R42" s="65"/>
      <c r="S42" s="65"/>
      <c r="T42" s="65"/>
      <c r="U42" s="65">
        <f>PMemission!U42*(U100)</f>
        <v>21.41517857142857</v>
      </c>
      <c r="V42" s="65"/>
      <c r="W42" s="65"/>
      <c r="X42" s="71"/>
      <c r="Y42" s="33"/>
      <c r="Z42" s="69"/>
      <c r="AA42" s="69"/>
      <c r="AB42" s="69"/>
      <c r="AC42" s="69"/>
      <c r="AD42" s="69"/>
      <c r="AE42" s="69"/>
      <c r="AF42" s="69"/>
      <c r="AG42" s="69"/>
      <c r="AH42" s="69"/>
      <c r="AI42" s="69"/>
      <c r="AJ42" s="69"/>
      <c r="AK42" s="33"/>
      <c r="AL42" s="3" t="s">
        <v>30</v>
      </c>
      <c r="AM42" s="30">
        <f>Mtoe!O42</f>
        <v>1</v>
      </c>
      <c r="AN42" s="30">
        <f>Mtoe!P42</f>
        <v>1</v>
      </c>
      <c r="AO42" s="30">
        <f>Mtoe!Q42</f>
        <v>1</v>
      </c>
      <c r="AP42" s="30">
        <f>Mtoe!R42</f>
        <v>1</v>
      </c>
      <c r="AQ42" s="30">
        <f>Mtoe!S42</f>
        <v>1</v>
      </c>
      <c r="AR42" s="30">
        <f>Mtoe!T42</f>
        <v>1</v>
      </c>
      <c r="AS42" s="30">
        <f>Mtoe!U42</f>
        <v>1</v>
      </c>
      <c r="AT42" s="30">
        <f>Mtoe!V42</f>
        <v>1</v>
      </c>
      <c r="AU42" s="30">
        <f>Mtoe!W42</f>
        <v>1</v>
      </c>
      <c r="AV42" s="30">
        <f>Mtoe!X42</f>
        <v>1</v>
      </c>
      <c r="AW42" s="36"/>
      <c r="AX42" s="3" t="s">
        <v>30</v>
      </c>
      <c r="AY42" s="209">
        <f t="shared" si="15"/>
        <v>760.1015624999999</v>
      </c>
      <c r="AZ42" s="209"/>
      <c r="BA42" s="209">
        <f>AO42*D42</f>
        <v>45.68571428571428</v>
      </c>
      <c r="BB42" s="209">
        <f>AP42*E42</f>
        <v>0</v>
      </c>
      <c r="BC42" s="209"/>
      <c r="BD42" s="209"/>
      <c r="BE42" s="209"/>
      <c r="BF42" s="209">
        <f aca="true" t="shared" si="19" ref="BF42:BF47">AT42*I42</f>
        <v>237.21428571428572</v>
      </c>
      <c r="BG42" s="209">
        <f>AU42*J42</f>
        <v>0</v>
      </c>
      <c r="BH42" s="209">
        <f>AV42*K42</f>
        <v>0</v>
      </c>
      <c r="BI42" s="215">
        <f t="shared" si="6"/>
        <v>1043.0015624999999</v>
      </c>
      <c r="BJ42" s="33"/>
      <c r="BK42" s="110" t="s">
        <v>30</v>
      </c>
      <c r="BL42" s="157">
        <f t="shared" si="16"/>
        <v>2932.4338230468743</v>
      </c>
      <c r="BM42" s="157">
        <f t="shared" si="16"/>
        <v>0</v>
      </c>
      <c r="BN42" s="157">
        <f t="shared" si="16"/>
        <v>142.85785799999996</v>
      </c>
      <c r="BO42" s="157">
        <f t="shared" si="16"/>
        <v>0</v>
      </c>
      <c r="BP42" s="157"/>
      <c r="BQ42" s="157"/>
      <c r="BR42" s="157"/>
      <c r="BS42" s="157">
        <f t="shared" si="16"/>
        <v>1136.7261128571429</v>
      </c>
      <c r="BT42" s="157" t="e">
        <f t="shared" si="18"/>
        <v>#DIV/0!</v>
      </c>
      <c r="BU42" s="157" t="e">
        <f t="shared" si="18"/>
        <v>#DIV/0!</v>
      </c>
      <c r="BV42" s="158" t="e">
        <f t="shared" si="17"/>
        <v>#DIV/0!</v>
      </c>
      <c r="BW42" s="4" t="e">
        <f t="shared" si="14"/>
        <v>#DIV/0!</v>
      </c>
      <c r="BX42" s="4" t="s">
        <v>110</v>
      </c>
      <c r="BY42" s="4">
        <v>1.9328176100441077</v>
      </c>
      <c r="BZ42" t="s">
        <v>110</v>
      </c>
    </row>
    <row r="43" spans="1:78" ht="12.75">
      <c r="A43" s="64" t="s">
        <v>31</v>
      </c>
      <c r="B43" s="65">
        <f>PMemission!B43*(B101)</f>
        <v>427.13671875</v>
      </c>
      <c r="C43" s="65"/>
      <c r="D43" s="65">
        <f>PMemission!D43*(D101)</f>
        <v>23.897142857142857</v>
      </c>
      <c r="E43" s="65"/>
      <c r="F43" s="65"/>
      <c r="G43" s="65"/>
      <c r="H43" s="65"/>
      <c r="I43" s="65">
        <f>PMemission!I43*(I101)</f>
        <v>397.1142857142857</v>
      </c>
      <c r="J43" s="65"/>
      <c r="K43" s="65"/>
      <c r="L43" s="71"/>
      <c r="M43" s="33"/>
      <c r="N43" s="65">
        <f>PMemission!N43*(N101)</f>
        <v>90.89367675781253</v>
      </c>
      <c r="O43" s="65"/>
      <c r="P43" s="65">
        <f>PMemission!P43*(P101)</f>
        <v>202.25446428571428</v>
      </c>
      <c r="Q43" s="65"/>
      <c r="R43" s="65"/>
      <c r="S43" s="65"/>
      <c r="T43" s="65"/>
      <c r="U43" s="65">
        <f>PMemission!U43*(U101)</f>
        <v>145.19491071428573</v>
      </c>
      <c r="V43" s="65"/>
      <c r="W43" s="65"/>
      <c r="X43" s="71"/>
      <c r="Y43" s="33"/>
      <c r="Z43" s="69"/>
      <c r="AA43" s="69"/>
      <c r="AB43" s="69"/>
      <c r="AC43" s="69"/>
      <c r="AD43" s="69"/>
      <c r="AE43" s="69"/>
      <c r="AF43" s="69"/>
      <c r="AG43" s="69"/>
      <c r="AH43" s="69"/>
      <c r="AI43" s="69"/>
      <c r="AJ43" s="69"/>
      <c r="AK43" s="33"/>
      <c r="AL43" s="3" t="s">
        <v>31</v>
      </c>
      <c r="AM43" s="30">
        <f>Mtoe!O43</f>
        <v>1</v>
      </c>
      <c r="AN43" s="30">
        <f>Mtoe!P43</f>
        <v>1</v>
      </c>
      <c r="AO43" s="30">
        <f>Mtoe!Q43</f>
        <v>1</v>
      </c>
      <c r="AP43" s="30">
        <f>Mtoe!R43</f>
        <v>1</v>
      </c>
      <c r="AQ43" s="30">
        <f>Mtoe!S43</f>
        <v>1</v>
      </c>
      <c r="AR43" s="30">
        <f>Mtoe!T43</f>
        <v>1</v>
      </c>
      <c r="AS43" s="30">
        <f>Mtoe!U43</f>
        <v>1</v>
      </c>
      <c r="AT43" s="30">
        <f>Mtoe!V43</f>
        <v>1</v>
      </c>
      <c r="AU43" s="30">
        <f>Mtoe!W43</f>
        <v>1</v>
      </c>
      <c r="AV43" s="30">
        <f>Mtoe!X43</f>
        <v>1</v>
      </c>
      <c r="AW43" s="36"/>
      <c r="AX43" s="3" t="s">
        <v>31</v>
      </c>
      <c r="AY43" s="209">
        <f t="shared" si="15"/>
        <v>427.13671875</v>
      </c>
      <c r="AZ43" s="209"/>
      <c r="BA43" s="209">
        <f>AO43*D43</f>
        <v>23.897142857142857</v>
      </c>
      <c r="BB43" s="209">
        <f>AP43*E43</f>
        <v>0</v>
      </c>
      <c r="BC43" s="209"/>
      <c r="BD43" s="209"/>
      <c r="BE43" s="209"/>
      <c r="BF43" s="209">
        <f t="shared" si="19"/>
        <v>397.1142857142857</v>
      </c>
      <c r="BG43" s="209">
        <f>AU43*J43</f>
        <v>0</v>
      </c>
      <c r="BH43" s="209">
        <f>AV43*K43</f>
        <v>0</v>
      </c>
      <c r="BI43" s="215">
        <f t="shared" si="6"/>
        <v>848.1481473214285</v>
      </c>
      <c r="BJ43" s="33"/>
      <c r="BK43" s="110" t="s">
        <v>31</v>
      </c>
      <c r="BL43" s="157">
        <f t="shared" si="16"/>
        <v>1647.8721041015624</v>
      </c>
      <c r="BM43" s="157">
        <f t="shared" si="16"/>
        <v>0</v>
      </c>
      <c r="BN43" s="157">
        <f t="shared" si="16"/>
        <v>74.72564879999999</v>
      </c>
      <c r="BO43" s="157">
        <f t="shared" si="16"/>
        <v>0</v>
      </c>
      <c r="BP43" s="157"/>
      <c r="BQ43" s="157"/>
      <c r="BR43" s="157"/>
      <c r="BS43" s="157">
        <f t="shared" si="16"/>
        <v>1902.9637148571426</v>
      </c>
      <c r="BT43" s="157" t="e">
        <f t="shared" si="18"/>
        <v>#DIV/0!</v>
      </c>
      <c r="BU43" s="157" t="e">
        <f t="shared" si="18"/>
        <v>#DIV/0!</v>
      </c>
      <c r="BV43" s="158" t="e">
        <f t="shared" si="17"/>
        <v>#DIV/0!</v>
      </c>
      <c r="BW43" s="4" t="e">
        <f t="shared" si="14"/>
        <v>#DIV/0!</v>
      </c>
      <c r="BX43" s="4" t="s">
        <v>110</v>
      </c>
      <c r="BY43" s="4">
        <v>1.8678049152373926</v>
      </c>
      <c r="BZ43" t="s">
        <v>110</v>
      </c>
    </row>
    <row r="44" spans="1:78" ht="12.75">
      <c r="A44" s="64" t="s">
        <v>32</v>
      </c>
      <c r="B44" s="65">
        <f>PMemission!B44*(B102)</f>
        <v>47.08593750000001</v>
      </c>
      <c r="C44" s="65"/>
      <c r="D44" s="65">
        <f>PMemission!D44*(D102)</f>
        <v>3.6314285714285717</v>
      </c>
      <c r="E44" s="65"/>
      <c r="F44" s="65"/>
      <c r="G44" s="65"/>
      <c r="H44" s="65"/>
      <c r="I44" s="65">
        <f>PMemission!I44*(I102)</f>
        <v>166.04999999999998</v>
      </c>
      <c r="J44" s="65"/>
      <c r="K44" s="65"/>
      <c r="L44" s="71"/>
      <c r="M44" s="33"/>
      <c r="N44" s="65">
        <f>PMemission!N44*(N102)</f>
        <v>10.019775390625002</v>
      </c>
      <c r="O44" s="65"/>
      <c r="P44" s="65">
        <f>PMemission!P44*(P102)</f>
        <v>30.734747023809526</v>
      </c>
      <c r="Q44" s="65"/>
      <c r="R44" s="65"/>
      <c r="S44" s="65"/>
      <c r="T44" s="65"/>
      <c r="U44" s="65">
        <f>PMemission!U44*(U102)</f>
        <v>74.953125</v>
      </c>
      <c r="V44" s="65"/>
      <c r="W44" s="65"/>
      <c r="X44" s="71"/>
      <c r="Y44" s="33"/>
      <c r="Z44" s="69"/>
      <c r="AA44" s="69"/>
      <c r="AB44" s="69"/>
      <c r="AC44" s="69"/>
      <c r="AD44" s="69"/>
      <c r="AE44" s="69"/>
      <c r="AF44" s="69"/>
      <c r="AG44" s="69"/>
      <c r="AH44" s="69"/>
      <c r="AI44" s="69"/>
      <c r="AJ44" s="69"/>
      <c r="AK44" s="33"/>
      <c r="AL44" s="3" t="s">
        <v>32</v>
      </c>
      <c r="AM44" s="30">
        <f>Mtoe!O44</f>
        <v>1</v>
      </c>
      <c r="AN44" s="30">
        <f>Mtoe!P44</f>
        <v>1</v>
      </c>
      <c r="AO44" s="30">
        <f>Mtoe!Q44</f>
        <v>1</v>
      </c>
      <c r="AP44" s="30">
        <f>Mtoe!R44</f>
        <v>1</v>
      </c>
      <c r="AQ44" s="30">
        <f>Mtoe!S44</f>
        <v>1</v>
      </c>
      <c r="AR44" s="30">
        <f>Mtoe!T44</f>
        <v>1</v>
      </c>
      <c r="AS44" s="30">
        <f>Mtoe!U44</f>
        <v>1</v>
      </c>
      <c r="AT44" s="30">
        <f>Mtoe!V44</f>
        <v>1</v>
      </c>
      <c r="AU44" s="30">
        <f>Mtoe!W44</f>
        <v>1</v>
      </c>
      <c r="AV44" s="30">
        <f>Mtoe!X44</f>
        <v>1</v>
      </c>
      <c r="AW44" s="36"/>
      <c r="AX44" s="3" t="s">
        <v>32</v>
      </c>
      <c r="AY44" s="209">
        <f t="shared" si="15"/>
        <v>47.08593750000001</v>
      </c>
      <c r="AZ44" s="209"/>
      <c r="BA44" s="209">
        <f>AO44*D44</f>
        <v>3.6314285714285717</v>
      </c>
      <c r="BB44" s="209">
        <f>AP44*E44</f>
        <v>0</v>
      </c>
      <c r="BC44" s="209"/>
      <c r="BD44" s="209"/>
      <c r="BE44" s="209"/>
      <c r="BF44" s="209">
        <f t="shared" si="19"/>
        <v>166.04999999999998</v>
      </c>
      <c r="BG44" s="209">
        <f>AU44*J44</f>
        <v>0</v>
      </c>
      <c r="BH44" s="209">
        <f>AV44*K44</f>
        <v>0</v>
      </c>
      <c r="BI44" s="215">
        <f t="shared" si="6"/>
        <v>216.76736607142857</v>
      </c>
      <c r="BJ44" s="33"/>
      <c r="BK44" s="110" t="s">
        <v>32</v>
      </c>
      <c r="BL44" s="157">
        <f t="shared" si="16"/>
        <v>181.65519257812502</v>
      </c>
      <c r="BM44" s="157">
        <f t="shared" si="16"/>
        <v>0</v>
      </c>
      <c r="BN44" s="157">
        <f t="shared" si="16"/>
        <v>11.3553682</v>
      </c>
      <c r="BO44" s="157">
        <f t="shared" si="16"/>
        <v>0</v>
      </c>
      <c r="BP44" s="157"/>
      <c r="BQ44" s="157"/>
      <c r="BR44" s="157"/>
      <c r="BS44" s="157">
        <f t="shared" si="16"/>
        <v>795.7082789999998</v>
      </c>
      <c r="BT44" s="157" t="e">
        <f t="shared" si="18"/>
        <v>#DIV/0!</v>
      </c>
      <c r="BU44" s="157" t="e">
        <f t="shared" si="18"/>
        <v>#DIV/0!</v>
      </c>
      <c r="BV44" s="158" t="e">
        <f t="shared" si="17"/>
        <v>#DIV/0!</v>
      </c>
      <c r="BW44" s="4" t="e">
        <f t="shared" si="14"/>
        <v>#DIV/0!</v>
      </c>
      <c r="BX44" s="4" t="s">
        <v>110</v>
      </c>
      <c r="BY44" s="4">
        <v>0.2704680160743456</v>
      </c>
      <c r="BZ44" t="s">
        <v>110</v>
      </c>
    </row>
    <row r="45" spans="1:78" ht="12.75">
      <c r="A45" s="64" t="s">
        <v>33</v>
      </c>
      <c r="B45" s="72">
        <f>PMemission!B45*(B103)</f>
        <v>7264.6875</v>
      </c>
      <c r="C45" s="65"/>
      <c r="D45" s="65">
        <f>PMemission!D45*(D103)</f>
        <v>397.1142857142857</v>
      </c>
      <c r="E45" s="65"/>
      <c r="F45" s="65"/>
      <c r="G45" s="65"/>
      <c r="H45" s="65"/>
      <c r="I45" s="65">
        <f>PMemission!I45*(I103)</f>
        <v>316.2857142857142</v>
      </c>
      <c r="J45" s="65"/>
      <c r="K45" s="65"/>
      <c r="L45" s="71"/>
      <c r="M45" s="33"/>
      <c r="N45" s="65">
        <f>PMemission!N45*(N103)</f>
        <v>154.59082031250003</v>
      </c>
      <c r="O45" s="65"/>
      <c r="P45" s="65">
        <f>PMemission!P45*(P103)</f>
        <v>26.88794642857143</v>
      </c>
      <c r="Q45" s="65"/>
      <c r="R45" s="65"/>
      <c r="S45" s="65"/>
      <c r="T45" s="65"/>
      <c r="U45" s="65">
        <f>PMemission!U45*(U103)</f>
        <v>2.8553571428571423</v>
      </c>
      <c r="V45" s="65"/>
      <c r="W45" s="65"/>
      <c r="X45" s="71"/>
      <c r="Y45" s="33"/>
      <c r="Z45" s="69"/>
      <c r="AA45" s="69"/>
      <c r="AB45" s="69"/>
      <c r="AC45" s="69"/>
      <c r="AD45" s="69"/>
      <c r="AE45" s="69"/>
      <c r="AF45" s="69"/>
      <c r="AG45" s="69"/>
      <c r="AH45" s="69"/>
      <c r="AI45" s="69"/>
      <c r="AJ45" s="69"/>
      <c r="AK45" s="33"/>
      <c r="AL45" s="3" t="s">
        <v>33</v>
      </c>
      <c r="AM45" s="30">
        <f>Mtoe!O45</f>
        <v>1</v>
      </c>
      <c r="AN45" s="30">
        <f>Mtoe!P45</f>
        <v>1</v>
      </c>
      <c r="AO45" s="30">
        <f>Mtoe!Q45</f>
        <v>1</v>
      </c>
      <c r="AP45" s="30">
        <f>Mtoe!R45</f>
        <v>1</v>
      </c>
      <c r="AQ45" s="30">
        <f>Mtoe!S45</f>
        <v>1</v>
      </c>
      <c r="AR45" s="30">
        <f>Mtoe!T45</f>
        <v>1</v>
      </c>
      <c r="AS45" s="30">
        <f>Mtoe!U45</f>
        <v>1</v>
      </c>
      <c r="AT45" s="30">
        <f>Mtoe!V45</f>
        <v>1</v>
      </c>
      <c r="AU45" s="30">
        <f>Mtoe!W45</f>
        <v>1</v>
      </c>
      <c r="AV45" s="30">
        <f>Mtoe!X45</f>
        <v>1</v>
      </c>
      <c r="AW45" s="36"/>
      <c r="AX45" s="3" t="s">
        <v>33</v>
      </c>
      <c r="AY45" s="209">
        <f t="shared" si="15"/>
        <v>7264.6875</v>
      </c>
      <c r="AZ45" s="209"/>
      <c r="BA45" s="209">
        <f>AO45*D45</f>
        <v>397.1142857142857</v>
      </c>
      <c r="BB45" s="209">
        <f>AP45*E45</f>
        <v>0</v>
      </c>
      <c r="BC45" s="209"/>
      <c r="BD45" s="209"/>
      <c r="BE45" s="209"/>
      <c r="BF45" s="209">
        <f t="shared" si="19"/>
        <v>316.2857142857142</v>
      </c>
      <c r="BG45" s="209">
        <f>AU45*J45</f>
        <v>0</v>
      </c>
      <c r="BH45" s="209">
        <f>AV45*K45</f>
        <v>0</v>
      </c>
      <c r="BI45" s="215">
        <f t="shared" si="6"/>
        <v>7978.0875</v>
      </c>
      <c r="BJ45" s="33"/>
      <c r="BK45" s="110" t="s">
        <v>33</v>
      </c>
      <c r="BL45" s="157">
        <f t="shared" si="16"/>
        <v>28026.801140624997</v>
      </c>
      <c r="BM45" s="157">
        <f t="shared" si="16"/>
        <v>0</v>
      </c>
      <c r="BN45" s="157">
        <f t="shared" si="16"/>
        <v>1241.7644579999999</v>
      </c>
      <c r="BO45" s="157">
        <f t="shared" si="16"/>
        <v>0</v>
      </c>
      <c r="BP45" s="157"/>
      <c r="BQ45" s="157"/>
      <c r="BR45" s="157"/>
      <c r="BS45" s="157">
        <f t="shared" si="16"/>
        <v>1515.6348171428567</v>
      </c>
      <c r="BT45" s="157" t="e">
        <f t="shared" si="18"/>
        <v>#DIV/0!</v>
      </c>
      <c r="BU45" s="157" t="e">
        <f t="shared" si="18"/>
        <v>#DIV/0!</v>
      </c>
      <c r="BV45" s="158" t="e">
        <f t="shared" si="17"/>
        <v>#DIV/0!</v>
      </c>
      <c r="BW45" s="4" t="e">
        <f t="shared" si="14"/>
        <v>#DIV/0!</v>
      </c>
      <c r="BX45" s="4" t="s">
        <v>110</v>
      </c>
      <c r="BY45" s="4">
        <v>0.5818535847240011</v>
      </c>
      <c r="BZ45" t="s">
        <v>110</v>
      </c>
    </row>
    <row r="46" spans="1:78" ht="12.75">
      <c r="A46" s="64" t="s">
        <v>34</v>
      </c>
      <c r="B46" s="65">
        <f>PMemission!B46*(B104)</f>
        <v>110.98828125</v>
      </c>
      <c r="C46" s="65"/>
      <c r="D46" s="65">
        <f>PMemission!D46*(D104)</f>
        <v>10.191428571428572</v>
      </c>
      <c r="E46" s="65"/>
      <c r="F46" s="65"/>
      <c r="G46" s="65"/>
      <c r="H46" s="65"/>
      <c r="I46" s="65">
        <f>PMemission!I46*(I104)</f>
        <v>18.450000000000003</v>
      </c>
      <c r="J46" s="65"/>
      <c r="K46" s="65"/>
      <c r="L46" s="71"/>
      <c r="M46" s="33"/>
      <c r="N46" s="65">
        <f>PMemission!N46*(N104)</f>
        <v>23.618041992187507</v>
      </c>
      <c r="O46" s="65"/>
      <c r="P46" s="65">
        <f>PMemission!P46*(P104)</f>
        <v>6.900446428571429</v>
      </c>
      <c r="Q46" s="65"/>
      <c r="R46" s="65"/>
      <c r="S46" s="65"/>
      <c r="T46" s="65"/>
      <c r="U46" s="65">
        <f>PMemission!U46*(U104)</f>
        <v>1.6656250000000001</v>
      </c>
      <c r="V46" s="65"/>
      <c r="W46" s="65"/>
      <c r="X46" s="71"/>
      <c r="Y46" s="33"/>
      <c r="Z46" s="69"/>
      <c r="AA46" s="69"/>
      <c r="AB46" s="69"/>
      <c r="AC46" s="69"/>
      <c r="AD46" s="69"/>
      <c r="AE46" s="69"/>
      <c r="AF46" s="69"/>
      <c r="AG46" s="69"/>
      <c r="AH46" s="69"/>
      <c r="AI46" s="69"/>
      <c r="AJ46" s="69"/>
      <c r="AK46" s="33"/>
      <c r="AL46" s="3" t="s">
        <v>34</v>
      </c>
      <c r="AM46" s="30">
        <f>Mtoe!O46</f>
        <v>1</v>
      </c>
      <c r="AN46" s="30">
        <f>Mtoe!P46</f>
        <v>1</v>
      </c>
      <c r="AO46" s="30">
        <f>Mtoe!Q46</f>
        <v>1</v>
      </c>
      <c r="AP46" s="30">
        <f>Mtoe!R46</f>
        <v>1</v>
      </c>
      <c r="AQ46" s="30">
        <f>Mtoe!S46</f>
        <v>1</v>
      </c>
      <c r="AR46" s="30">
        <f>Mtoe!T46</f>
        <v>1</v>
      </c>
      <c r="AS46" s="30">
        <f>Mtoe!U46</f>
        <v>1</v>
      </c>
      <c r="AT46" s="30">
        <f>Mtoe!V46</f>
        <v>1</v>
      </c>
      <c r="AU46" s="30">
        <f>Mtoe!W46</f>
        <v>1</v>
      </c>
      <c r="AV46" s="30">
        <f>Mtoe!X46</f>
        <v>1</v>
      </c>
      <c r="AW46" s="36"/>
      <c r="AX46" s="3" t="s">
        <v>34</v>
      </c>
      <c r="AY46" s="209">
        <f t="shared" si="15"/>
        <v>110.98828125</v>
      </c>
      <c r="AZ46" s="209"/>
      <c r="BA46" s="209">
        <f>AO46*D46</f>
        <v>10.191428571428572</v>
      </c>
      <c r="BB46" s="209">
        <f>AP46*E46</f>
        <v>0</v>
      </c>
      <c r="BC46" s="209"/>
      <c r="BD46" s="209"/>
      <c r="BE46" s="209"/>
      <c r="BF46" s="209">
        <f t="shared" si="19"/>
        <v>18.450000000000003</v>
      </c>
      <c r="BG46" s="209">
        <f>AU46*J46</f>
        <v>0</v>
      </c>
      <c r="BH46" s="209">
        <f>AV46*K46</f>
        <v>0</v>
      </c>
      <c r="BI46" s="215">
        <f t="shared" si="6"/>
        <v>139.62970982142858</v>
      </c>
      <c r="BJ46" s="33"/>
      <c r="BK46" s="110" t="s">
        <v>34</v>
      </c>
      <c r="BL46" s="157">
        <f t="shared" si="16"/>
        <v>428.18723964843747</v>
      </c>
      <c r="BM46" s="157">
        <f t="shared" si="16"/>
        <v>0</v>
      </c>
      <c r="BN46" s="157">
        <f t="shared" si="16"/>
        <v>31.868291399999997</v>
      </c>
      <c r="BO46" s="157">
        <f t="shared" si="16"/>
        <v>0</v>
      </c>
      <c r="BP46" s="157"/>
      <c r="BQ46" s="157"/>
      <c r="BR46" s="157"/>
      <c r="BS46" s="157">
        <f t="shared" si="16"/>
        <v>88.41203100000001</v>
      </c>
      <c r="BT46" s="157" t="e">
        <f t="shared" si="18"/>
        <v>#DIV/0!</v>
      </c>
      <c r="BU46" s="157" t="e">
        <f t="shared" si="18"/>
        <v>#DIV/0!</v>
      </c>
      <c r="BV46" s="158" t="e">
        <f t="shared" si="17"/>
        <v>#DIV/0!</v>
      </c>
      <c r="BW46" s="191" t="e">
        <f t="shared" si="14"/>
        <v>#DIV/0!</v>
      </c>
      <c r="BX46" s="191" t="s">
        <v>110</v>
      </c>
      <c r="BY46" s="4">
        <v>0.543683264372239</v>
      </c>
      <c r="BZ46" t="s">
        <v>110</v>
      </c>
    </row>
    <row r="47" spans="1:78" ht="13.5" thickBot="1">
      <c r="A47" s="73" t="s">
        <v>35</v>
      </c>
      <c r="B47" s="253"/>
      <c r="C47" s="74"/>
      <c r="D47" s="74"/>
      <c r="E47" s="74"/>
      <c r="F47" s="74"/>
      <c r="G47" s="74"/>
      <c r="H47" s="74"/>
      <c r="I47" s="74"/>
      <c r="J47" s="74"/>
      <c r="K47" s="74"/>
      <c r="L47" s="96"/>
      <c r="M47" s="33"/>
      <c r="N47" s="253"/>
      <c r="O47" s="74"/>
      <c r="P47" s="74"/>
      <c r="Q47" s="74"/>
      <c r="R47" s="74"/>
      <c r="S47" s="74"/>
      <c r="T47" s="74"/>
      <c r="U47" s="74"/>
      <c r="V47" s="74"/>
      <c r="W47" s="74"/>
      <c r="X47" s="96"/>
      <c r="Y47" s="33"/>
      <c r="Z47" s="378"/>
      <c r="AA47" s="378"/>
      <c r="AB47" s="378"/>
      <c r="AC47" s="378"/>
      <c r="AD47" s="378"/>
      <c r="AE47" s="378"/>
      <c r="AF47" s="378"/>
      <c r="AG47" s="378"/>
      <c r="AH47" s="378"/>
      <c r="AI47" s="378"/>
      <c r="AJ47" s="378"/>
      <c r="AK47" s="33"/>
      <c r="AL47" s="6" t="s">
        <v>35</v>
      </c>
      <c r="AM47" s="30">
        <f>Mtoe!O47</f>
        <v>1</v>
      </c>
      <c r="AN47" s="30">
        <f>Mtoe!P47</f>
        <v>1</v>
      </c>
      <c r="AO47" s="30">
        <f>Mtoe!Q47</f>
        <v>1</v>
      </c>
      <c r="AP47" s="30">
        <f>Mtoe!R47</f>
        <v>1</v>
      </c>
      <c r="AQ47" s="30">
        <f>Mtoe!S47</f>
        <v>1</v>
      </c>
      <c r="AR47" s="30">
        <f>Mtoe!T47</f>
        <v>1</v>
      </c>
      <c r="AS47" s="30">
        <f>Mtoe!U47</f>
        <v>1</v>
      </c>
      <c r="AT47" s="30">
        <f>Mtoe!V47</f>
        <v>1</v>
      </c>
      <c r="AU47" s="30">
        <f>Mtoe!W47</f>
        <v>1</v>
      </c>
      <c r="AV47" s="30">
        <f>Mtoe!X47</f>
        <v>1</v>
      </c>
      <c r="AW47" s="41"/>
      <c r="AX47" s="6" t="s">
        <v>35</v>
      </c>
      <c r="AY47" s="219">
        <f t="shared" si="15"/>
        <v>0</v>
      </c>
      <c r="AZ47" s="219"/>
      <c r="BA47" s="219">
        <f>AO47*D47</f>
        <v>0</v>
      </c>
      <c r="BB47" s="219">
        <f>AP47*E47</f>
        <v>0</v>
      </c>
      <c r="BC47" s="219"/>
      <c r="BD47" s="219"/>
      <c r="BE47" s="219">
        <f>AS47*H47</f>
        <v>0</v>
      </c>
      <c r="BF47" s="219">
        <f t="shared" si="19"/>
        <v>0</v>
      </c>
      <c r="BG47" s="219">
        <f>AU47*J47</f>
        <v>0</v>
      </c>
      <c r="BH47" s="219">
        <f>AV47*K47</f>
        <v>0</v>
      </c>
      <c r="BI47" s="220">
        <f t="shared" si="6"/>
        <v>0</v>
      </c>
      <c r="BJ47" s="33"/>
      <c r="BK47" s="111" t="s">
        <v>35</v>
      </c>
      <c r="BL47" s="205">
        <f t="shared" si="16"/>
        <v>0</v>
      </c>
      <c r="BM47" s="162">
        <f t="shared" si="16"/>
        <v>0</v>
      </c>
      <c r="BN47" s="162">
        <f t="shared" si="16"/>
        <v>0</v>
      </c>
      <c r="BO47" s="162">
        <f t="shared" si="16"/>
        <v>0</v>
      </c>
      <c r="BP47" s="162"/>
      <c r="BQ47" s="162"/>
      <c r="BR47" s="162"/>
      <c r="BS47" s="162">
        <f t="shared" si="16"/>
        <v>0</v>
      </c>
      <c r="BT47" s="162" t="e">
        <f t="shared" si="18"/>
        <v>#DIV/0!</v>
      </c>
      <c r="BU47" s="162" t="e">
        <f t="shared" si="18"/>
        <v>#DIV/0!</v>
      </c>
      <c r="BV47" s="163" t="e">
        <f t="shared" si="17"/>
        <v>#DIV/0!</v>
      </c>
      <c r="BW47" s="195" t="e">
        <f t="shared" si="14"/>
        <v>#DIV/0!</v>
      </c>
      <c r="BX47" s="193" t="s">
        <v>110</v>
      </c>
      <c r="BY47" s="193">
        <v>3.3296751724303517</v>
      </c>
      <c r="BZ47" s="182" t="s">
        <v>110</v>
      </c>
    </row>
    <row r="48" spans="1:78" ht="12.75">
      <c r="A48" s="71" t="s">
        <v>36</v>
      </c>
      <c r="B48" s="72"/>
      <c r="C48" s="72"/>
      <c r="D48" s="72"/>
      <c r="E48" s="75"/>
      <c r="F48" s="72"/>
      <c r="G48" s="72"/>
      <c r="H48" s="72"/>
      <c r="I48" s="72"/>
      <c r="J48" s="72"/>
      <c r="K48" s="72"/>
      <c r="L48" s="71"/>
      <c r="M48" s="33"/>
      <c r="N48" s="72"/>
      <c r="O48" s="72"/>
      <c r="P48" s="72"/>
      <c r="Q48" s="75"/>
      <c r="R48" s="72"/>
      <c r="S48" s="72"/>
      <c r="T48" s="72"/>
      <c r="U48" s="72"/>
      <c r="V48" s="72"/>
      <c r="W48" s="72"/>
      <c r="X48" s="71"/>
      <c r="Y48" s="33"/>
      <c r="Z48" s="69"/>
      <c r="AA48" s="69"/>
      <c r="AB48" s="69"/>
      <c r="AC48" s="69"/>
      <c r="AD48" s="69"/>
      <c r="AE48" s="69"/>
      <c r="AF48" s="69"/>
      <c r="AG48" s="69"/>
      <c r="AH48" s="69"/>
      <c r="AI48" s="69"/>
      <c r="AJ48" s="69"/>
      <c r="AK48" s="33"/>
      <c r="AL48" s="5" t="s">
        <v>36</v>
      </c>
      <c r="AM48" s="15"/>
      <c r="AN48" s="15"/>
      <c r="AO48" s="15"/>
      <c r="AP48" s="16"/>
      <c r="AQ48" s="15"/>
      <c r="AR48" s="15"/>
      <c r="AS48" s="15"/>
      <c r="AT48" s="15"/>
      <c r="AU48" s="15"/>
      <c r="AV48" s="15"/>
      <c r="AW48" s="40"/>
      <c r="AX48" s="5" t="s">
        <v>36</v>
      </c>
      <c r="AY48" s="207"/>
      <c r="AZ48" s="207">
        <f aca="true" t="shared" si="20" ref="AZ48:BI48">SUM(AZ49:AZ56)</f>
        <v>0</v>
      </c>
      <c r="BA48" s="218">
        <f t="shared" si="20"/>
        <v>227.80869047619046</v>
      </c>
      <c r="BB48" s="207">
        <f t="shared" si="20"/>
        <v>0</v>
      </c>
      <c r="BC48" s="207">
        <f t="shared" si="20"/>
        <v>0</v>
      </c>
      <c r="BD48" s="207">
        <f t="shared" si="20"/>
        <v>0</v>
      </c>
      <c r="BE48" s="207">
        <f t="shared" si="20"/>
        <v>0</v>
      </c>
      <c r="BF48" s="207">
        <f t="shared" si="20"/>
        <v>0</v>
      </c>
      <c r="BG48" s="218">
        <f t="shared" si="20"/>
        <v>0</v>
      </c>
      <c r="BH48" s="218">
        <f t="shared" si="20"/>
        <v>0</v>
      </c>
      <c r="BI48" s="215">
        <f t="shared" si="20"/>
        <v>227.80869047619046</v>
      </c>
      <c r="BJ48" s="33"/>
      <c r="BK48" s="201" t="s">
        <v>36</v>
      </c>
      <c r="BL48" s="206"/>
      <c r="BM48" s="160"/>
      <c r="BN48" s="160">
        <f aca="true" t="shared" si="21" ref="BN48:BV48">SUM(BN49:BN56)</f>
        <v>712.3509408583332</v>
      </c>
      <c r="BO48" s="160">
        <f t="shared" si="21"/>
        <v>0</v>
      </c>
      <c r="BP48" s="160">
        <f t="shared" si="21"/>
        <v>0</v>
      </c>
      <c r="BQ48" s="160">
        <f t="shared" si="21"/>
        <v>0</v>
      </c>
      <c r="BR48" s="160">
        <f t="shared" si="21"/>
        <v>0</v>
      </c>
      <c r="BS48" s="160">
        <f t="shared" si="21"/>
        <v>0</v>
      </c>
      <c r="BT48" s="160" t="e">
        <f t="shared" si="21"/>
        <v>#DIV/0!</v>
      </c>
      <c r="BU48" s="160" t="e">
        <f t="shared" si="21"/>
        <v>#DIV/0!</v>
      </c>
      <c r="BV48" s="158" t="e">
        <f t="shared" si="21"/>
        <v>#DIV/0!</v>
      </c>
      <c r="BW48" s="15" t="e">
        <f t="shared" si="14"/>
        <v>#DIV/0!</v>
      </c>
      <c r="BX48" s="4" t="s">
        <v>110</v>
      </c>
      <c r="BY48" s="4">
        <v>29.932820886235596</v>
      </c>
      <c r="BZ48" t="s">
        <v>110</v>
      </c>
    </row>
    <row r="49" spans="1:78" ht="12.75">
      <c r="A49" s="153" t="s">
        <v>120</v>
      </c>
      <c r="B49" s="65"/>
      <c r="C49" s="65"/>
      <c r="D49" s="65"/>
      <c r="E49" s="65"/>
      <c r="F49" s="65"/>
      <c r="G49" s="65"/>
      <c r="H49" s="65"/>
      <c r="I49" s="65"/>
      <c r="J49" s="65"/>
      <c r="K49" s="65"/>
      <c r="L49" s="75"/>
      <c r="M49" s="33"/>
      <c r="N49" s="65"/>
      <c r="O49" s="65"/>
      <c r="P49" s="65"/>
      <c r="Q49" s="65"/>
      <c r="R49" s="65"/>
      <c r="S49" s="65"/>
      <c r="T49" s="65"/>
      <c r="U49" s="65"/>
      <c r="V49" s="65"/>
      <c r="W49" s="65"/>
      <c r="X49" s="75"/>
      <c r="Y49" s="33"/>
      <c r="Z49" s="69"/>
      <c r="AA49" s="69"/>
      <c r="AB49" s="69"/>
      <c r="AC49" s="69"/>
      <c r="AD49" s="69"/>
      <c r="AE49" s="69"/>
      <c r="AF49" s="69"/>
      <c r="AG49" s="69"/>
      <c r="AH49" s="69"/>
      <c r="AI49" s="69"/>
      <c r="AJ49" s="69"/>
      <c r="AK49" s="33"/>
      <c r="AL49" s="3" t="s">
        <v>37</v>
      </c>
      <c r="AM49" s="30">
        <f>Mtoe!O49</f>
        <v>1</v>
      </c>
      <c r="AN49" s="30">
        <f>Mtoe!P49</f>
        <v>1</v>
      </c>
      <c r="AO49" s="30">
        <f>Mtoe!Q49</f>
        <v>1</v>
      </c>
      <c r="AP49" s="30">
        <f>Mtoe!R49</f>
        <v>1</v>
      </c>
      <c r="AQ49" s="30">
        <f>Mtoe!S49</f>
        <v>1</v>
      </c>
      <c r="AR49" s="30">
        <f>Mtoe!T49</f>
        <v>1</v>
      </c>
      <c r="AS49" s="30">
        <f>Mtoe!U49</f>
        <v>1</v>
      </c>
      <c r="AT49" s="30">
        <f>Mtoe!V49</f>
        <v>1</v>
      </c>
      <c r="AU49" s="30">
        <f>Mtoe!W49</f>
        <v>1</v>
      </c>
      <c r="AV49" s="30">
        <f>Mtoe!X49</f>
        <v>1</v>
      </c>
      <c r="AW49" s="36"/>
      <c r="AX49" s="3" t="s">
        <v>37</v>
      </c>
      <c r="AY49" s="209"/>
      <c r="AZ49" s="209"/>
      <c r="BA49" s="209">
        <f aca="true" t="shared" si="22" ref="BA49:BA56">AO49*D49</f>
        <v>0</v>
      </c>
      <c r="BB49" s="209"/>
      <c r="BC49" s="209"/>
      <c r="BD49" s="209"/>
      <c r="BE49" s="209"/>
      <c r="BF49" s="209"/>
      <c r="BG49" s="209"/>
      <c r="BH49" s="209"/>
      <c r="BI49" s="215">
        <f t="shared" si="6"/>
        <v>0</v>
      </c>
      <c r="BJ49" s="33"/>
      <c r="BK49" s="202" t="s">
        <v>37</v>
      </c>
      <c r="BL49" s="205"/>
      <c r="BM49" s="157"/>
      <c r="BN49" s="157">
        <f>BA49*BN$6</f>
        <v>0</v>
      </c>
      <c r="BO49" s="157">
        <f>BB49*BO$6</f>
        <v>0</v>
      </c>
      <c r="BP49" s="157"/>
      <c r="BQ49" s="157"/>
      <c r="BR49" s="157"/>
      <c r="BS49" s="157">
        <f t="shared" si="16"/>
        <v>0</v>
      </c>
      <c r="BT49" s="157" t="e">
        <f aca="true" t="shared" si="23" ref="BT49:BU56">BT$32*BG49/BG$32</f>
        <v>#DIV/0!</v>
      </c>
      <c r="BU49" s="157" t="e">
        <f t="shared" si="23"/>
        <v>#DIV/0!</v>
      </c>
      <c r="BV49" s="158" t="e">
        <f aca="true" t="shared" si="24" ref="BV49:BV56">SUM(BL49:BU49)</f>
        <v>#DIV/0!</v>
      </c>
      <c r="BW49" s="4" t="e">
        <f t="shared" si="14"/>
        <v>#DIV/0!</v>
      </c>
      <c r="BX49" s="4" t="s">
        <v>110</v>
      </c>
      <c r="BY49" s="4">
        <v>0.7427901929440426</v>
      </c>
      <c r="BZ49" t="s">
        <v>110</v>
      </c>
    </row>
    <row r="50" spans="1:78" ht="12.75">
      <c r="A50" s="64" t="s">
        <v>119</v>
      </c>
      <c r="B50" s="65"/>
      <c r="C50" s="65"/>
      <c r="D50" s="65"/>
      <c r="E50" s="65"/>
      <c r="F50" s="65"/>
      <c r="G50" s="65"/>
      <c r="H50" s="65"/>
      <c r="I50" s="65"/>
      <c r="J50" s="65"/>
      <c r="K50" s="65"/>
      <c r="L50" s="75"/>
      <c r="M50" s="33"/>
      <c r="N50" s="65"/>
      <c r="O50" s="65"/>
      <c r="P50" s="65"/>
      <c r="Q50" s="65"/>
      <c r="R50" s="65"/>
      <c r="S50" s="65"/>
      <c r="T50" s="65"/>
      <c r="U50" s="65"/>
      <c r="V50" s="65"/>
      <c r="W50" s="65"/>
      <c r="X50" s="75"/>
      <c r="Y50" s="33"/>
      <c r="Z50" s="69"/>
      <c r="AA50" s="69"/>
      <c r="AB50" s="69"/>
      <c r="AC50" s="69"/>
      <c r="AD50" s="69"/>
      <c r="AE50" s="69"/>
      <c r="AF50" s="69"/>
      <c r="AG50" s="69"/>
      <c r="AH50" s="69"/>
      <c r="AI50" s="69"/>
      <c r="AJ50" s="69"/>
      <c r="AK50" s="33"/>
      <c r="AL50" s="3" t="s">
        <v>122</v>
      </c>
      <c r="AM50" s="30">
        <f>Mtoe!O50</f>
        <v>1</v>
      </c>
      <c r="AN50" s="30">
        <f>Mtoe!P50</f>
        <v>1</v>
      </c>
      <c r="AO50" s="30">
        <f>Mtoe!Q50</f>
        <v>1</v>
      </c>
      <c r="AP50" s="30">
        <f>Mtoe!R50</f>
        <v>1</v>
      </c>
      <c r="AQ50" s="30">
        <f>Mtoe!S50</f>
        <v>1</v>
      </c>
      <c r="AR50" s="30">
        <f>Mtoe!T50</f>
        <v>1</v>
      </c>
      <c r="AS50" s="30">
        <f>Mtoe!U50</f>
        <v>1</v>
      </c>
      <c r="AT50" s="30">
        <f>Mtoe!V50</f>
        <v>1</v>
      </c>
      <c r="AU50" s="30">
        <f>Mtoe!W50</f>
        <v>1</v>
      </c>
      <c r="AV50" s="30">
        <f>Mtoe!X50</f>
        <v>1</v>
      </c>
      <c r="AW50" s="36"/>
      <c r="AX50" s="3" t="s">
        <v>122</v>
      </c>
      <c r="AY50" s="209"/>
      <c r="AZ50" s="209"/>
      <c r="BA50" s="209">
        <f t="shared" si="22"/>
        <v>0</v>
      </c>
      <c r="BB50" s="209"/>
      <c r="BC50" s="209"/>
      <c r="BD50" s="209"/>
      <c r="BE50" s="209"/>
      <c r="BF50" s="209"/>
      <c r="BG50" s="209"/>
      <c r="BH50" s="209"/>
      <c r="BI50" s="215">
        <f t="shared" si="6"/>
        <v>0</v>
      </c>
      <c r="BJ50" s="33"/>
      <c r="BK50" s="203" t="s">
        <v>122</v>
      </c>
      <c r="BL50" s="205"/>
      <c r="BM50" s="157"/>
      <c r="BN50" s="157">
        <f aca="true" t="shared" si="25" ref="BN50:BN56">BA50*BN$6</f>
        <v>0</v>
      </c>
      <c r="BO50" s="157"/>
      <c r="BP50" s="157"/>
      <c r="BQ50" s="157"/>
      <c r="BR50" s="157"/>
      <c r="BS50" s="157"/>
      <c r="BT50" s="157"/>
      <c r="BU50" s="157"/>
      <c r="BV50" s="158">
        <f t="shared" si="24"/>
        <v>0</v>
      </c>
      <c r="BW50" s="4" t="e">
        <f t="shared" si="14"/>
        <v>#DIV/0!</v>
      </c>
      <c r="BX50" s="4" t="s">
        <v>110</v>
      </c>
      <c r="BY50" s="4">
        <v>3.1033177860317247</v>
      </c>
      <c r="BZ50" t="s">
        <v>110</v>
      </c>
    </row>
    <row r="51" spans="1:78" ht="12.75">
      <c r="A51" s="64" t="s">
        <v>38</v>
      </c>
      <c r="B51" s="65"/>
      <c r="C51" s="65"/>
      <c r="D51" s="65"/>
      <c r="E51" s="65"/>
      <c r="F51" s="65"/>
      <c r="G51" s="65"/>
      <c r="H51" s="65"/>
      <c r="I51" s="65"/>
      <c r="J51" s="65"/>
      <c r="K51" s="65"/>
      <c r="L51" s="71"/>
      <c r="M51" s="33"/>
      <c r="N51" s="65"/>
      <c r="O51" s="65"/>
      <c r="P51" s="65"/>
      <c r="Q51" s="65"/>
      <c r="R51" s="65"/>
      <c r="S51" s="65"/>
      <c r="T51" s="65"/>
      <c r="U51" s="65"/>
      <c r="V51" s="65"/>
      <c r="W51" s="65"/>
      <c r="X51" s="71"/>
      <c r="Y51" s="33"/>
      <c r="Z51" s="69"/>
      <c r="AA51" s="69"/>
      <c r="AB51" s="69"/>
      <c r="AC51" s="69"/>
      <c r="AD51" s="69"/>
      <c r="AE51" s="69"/>
      <c r="AF51" s="69"/>
      <c r="AG51" s="69"/>
      <c r="AH51" s="69"/>
      <c r="AI51" s="69"/>
      <c r="AJ51" s="69"/>
      <c r="AK51" s="33"/>
      <c r="AL51" s="3" t="s">
        <v>38</v>
      </c>
      <c r="AM51" s="30">
        <f>Mtoe!O51</f>
        <v>1</v>
      </c>
      <c r="AN51" s="30">
        <f>Mtoe!P51</f>
        <v>1</v>
      </c>
      <c r="AO51" s="30">
        <f>Mtoe!Q51</f>
        <v>1</v>
      </c>
      <c r="AP51" s="30">
        <f>Mtoe!R51</f>
        <v>1</v>
      </c>
      <c r="AQ51" s="30">
        <f>Mtoe!S51</f>
        <v>1</v>
      </c>
      <c r="AR51" s="30">
        <f>Mtoe!T51</f>
        <v>1</v>
      </c>
      <c r="AS51" s="30">
        <f>Mtoe!U51</f>
        <v>1</v>
      </c>
      <c r="AT51" s="30">
        <f>Mtoe!V51</f>
        <v>1</v>
      </c>
      <c r="AU51" s="30">
        <f>Mtoe!W51</f>
        <v>1</v>
      </c>
      <c r="AV51" s="30">
        <f>Mtoe!X51</f>
        <v>1</v>
      </c>
      <c r="AW51" s="36"/>
      <c r="AX51" s="3" t="s">
        <v>38</v>
      </c>
      <c r="AY51" s="209"/>
      <c r="AZ51" s="209"/>
      <c r="BA51" s="209">
        <f t="shared" si="22"/>
        <v>0</v>
      </c>
      <c r="BB51" s="209">
        <f>AP51*E51</f>
        <v>0</v>
      </c>
      <c r="BC51" s="209"/>
      <c r="BD51" s="209"/>
      <c r="BE51" s="209"/>
      <c r="BF51" s="209">
        <f>AT51*I51</f>
        <v>0</v>
      </c>
      <c r="BG51" s="209"/>
      <c r="BH51" s="209"/>
      <c r="BI51" s="215">
        <f t="shared" si="6"/>
        <v>0</v>
      </c>
      <c r="BJ51" s="33"/>
      <c r="BK51" s="202" t="s">
        <v>38</v>
      </c>
      <c r="BL51" s="205"/>
      <c r="BM51" s="157"/>
      <c r="BN51" s="157">
        <f t="shared" si="25"/>
        <v>0</v>
      </c>
      <c r="BO51" s="157">
        <f>BB51*BO$6</f>
        <v>0</v>
      </c>
      <c r="BP51" s="157"/>
      <c r="BQ51" s="157"/>
      <c r="BR51" s="157"/>
      <c r="BS51" s="157">
        <f>BF51*BS$6</f>
        <v>0</v>
      </c>
      <c r="BT51" s="157" t="e">
        <f t="shared" si="23"/>
        <v>#DIV/0!</v>
      </c>
      <c r="BU51" s="157" t="e">
        <f t="shared" si="23"/>
        <v>#DIV/0!</v>
      </c>
      <c r="BV51" s="158" t="e">
        <f t="shared" si="24"/>
        <v>#DIV/0!</v>
      </c>
      <c r="BW51" s="4" t="e">
        <f t="shared" si="14"/>
        <v>#DIV/0!</v>
      </c>
      <c r="BX51" s="4" t="s">
        <v>110</v>
      </c>
      <c r="BY51" s="4">
        <v>21.123989480940242</v>
      </c>
      <c r="BZ51" t="s">
        <v>110</v>
      </c>
    </row>
    <row r="52" spans="1:78" ht="12.75">
      <c r="A52" s="64" t="s">
        <v>39</v>
      </c>
      <c r="B52" s="65">
        <f>PMemission!B52*(B110)</f>
        <v>3.36328125</v>
      </c>
      <c r="C52" s="65"/>
      <c r="D52" s="65">
        <f>PMemission!D52*(D110)</f>
        <v>4.319642857142857</v>
      </c>
      <c r="E52" s="65"/>
      <c r="F52" s="65"/>
      <c r="G52" s="65"/>
      <c r="H52" s="65"/>
      <c r="I52" s="65"/>
      <c r="J52" s="65"/>
      <c r="K52" s="65"/>
      <c r="L52" s="71"/>
      <c r="M52" s="33"/>
      <c r="N52" s="65">
        <f>PMemission!N52*(N110)</f>
        <v>0.7156982421875</v>
      </c>
      <c r="O52" s="65"/>
      <c r="P52" s="65">
        <f>PMemission!P52*(P110)</f>
        <v>23.398065476190474</v>
      </c>
      <c r="Q52" s="65"/>
      <c r="R52" s="65"/>
      <c r="S52" s="65"/>
      <c r="T52" s="65"/>
      <c r="U52" s="65"/>
      <c r="V52" s="65"/>
      <c r="W52" s="65"/>
      <c r="X52" s="71"/>
      <c r="Y52" s="33"/>
      <c r="Z52" s="69"/>
      <c r="AA52" s="69"/>
      <c r="AB52" s="69"/>
      <c r="AC52" s="69"/>
      <c r="AD52" s="69"/>
      <c r="AE52" s="69"/>
      <c r="AF52" s="69"/>
      <c r="AG52" s="69"/>
      <c r="AH52" s="69"/>
      <c r="AI52" s="69"/>
      <c r="AJ52" s="69"/>
      <c r="AK52" s="33"/>
      <c r="AL52" s="3" t="s">
        <v>39</v>
      </c>
      <c r="AM52" s="30">
        <f>Mtoe!O52</f>
        <v>1</v>
      </c>
      <c r="AN52" s="30">
        <f>Mtoe!P52</f>
        <v>1</v>
      </c>
      <c r="AO52" s="30">
        <f>Mtoe!Q52</f>
        <v>1</v>
      </c>
      <c r="AP52" s="30">
        <f>Mtoe!R52</f>
        <v>1</v>
      </c>
      <c r="AQ52" s="30">
        <f>Mtoe!S52</f>
        <v>1</v>
      </c>
      <c r="AR52" s="30">
        <f>Mtoe!T52</f>
        <v>1</v>
      </c>
      <c r="AS52" s="30">
        <f>Mtoe!U52</f>
        <v>1</v>
      </c>
      <c r="AT52" s="30">
        <f>Mtoe!V52</f>
        <v>1</v>
      </c>
      <c r="AU52" s="30">
        <f>Mtoe!W52</f>
        <v>1</v>
      </c>
      <c r="AV52" s="30">
        <f>Mtoe!X52</f>
        <v>1</v>
      </c>
      <c r="AW52" s="36"/>
      <c r="AX52" s="3" t="s">
        <v>39</v>
      </c>
      <c r="AY52" s="209"/>
      <c r="AZ52" s="209"/>
      <c r="BA52" s="209">
        <f t="shared" si="22"/>
        <v>4.319642857142857</v>
      </c>
      <c r="BB52" s="209"/>
      <c r="BC52" s="209"/>
      <c r="BD52" s="209"/>
      <c r="BE52" s="209"/>
      <c r="BF52" s="209"/>
      <c r="BG52" s="209">
        <f>AU52*J52</f>
        <v>0</v>
      </c>
      <c r="BH52" s="209"/>
      <c r="BI52" s="215">
        <f t="shared" si="6"/>
        <v>4.319642857142857</v>
      </c>
      <c r="BJ52" s="33"/>
      <c r="BK52" s="202" t="s">
        <v>39</v>
      </c>
      <c r="BL52" s="205"/>
      <c r="BM52" s="157"/>
      <c r="BN52" s="157">
        <f t="shared" si="25"/>
        <v>13.507393624999999</v>
      </c>
      <c r="BO52" s="157">
        <f>BB52*BO$6</f>
        <v>0</v>
      </c>
      <c r="BP52" s="157"/>
      <c r="BQ52" s="157"/>
      <c r="BR52" s="157"/>
      <c r="BS52" s="157">
        <f>BF52*BS$6</f>
        <v>0</v>
      </c>
      <c r="BT52" s="157" t="e">
        <f t="shared" si="23"/>
        <v>#DIV/0!</v>
      </c>
      <c r="BU52" s="157" t="e">
        <f t="shared" si="23"/>
        <v>#DIV/0!</v>
      </c>
      <c r="BV52" s="158" t="e">
        <f t="shared" si="24"/>
        <v>#DIV/0!</v>
      </c>
      <c r="BW52" s="4" t="e">
        <f t="shared" si="14"/>
        <v>#DIV/0!</v>
      </c>
      <c r="BX52" s="4" t="s">
        <v>110</v>
      </c>
      <c r="BY52" s="4">
        <v>0.6179627607270696</v>
      </c>
      <c r="BZ52" t="s">
        <v>110</v>
      </c>
    </row>
    <row r="53" spans="1:78" ht="12.75">
      <c r="A53" s="64" t="s">
        <v>40</v>
      </c>
      <c r="B53" s="65"/>
      <c r="C53" s="65"/>
      <c r="D53" s="65"/>
      <c r="E53" s="65"/>
      <c r="F53" s="65"/>
      <c r="G53" s="65"/>
      <c r="H53" s="65"/>
      <c r="I53" s="65"/>
      <c r="J53" s="65"/>
      <c r="K53" s="65"/>
      <c r="L53" s="71"/>
      <c r="M53" s="33"/>
      <c r="N53" s="65"/>
      <c r="O53" s="65"/>
      <c r="P53" s="65"/>
      <c r="Q53" s="65"/>
      <c r="R53" s="65"/>
      <c r="S53" s="65"/>
      <c r="T53" s="65"/>
      <c r="U53" s="65"/>
      <c r="V53" s="65"/>
      <c r="W53" s="65"/>
      <c r="X53" s="71"/>
      <c r="Y53" s="33"/>
      <c r="Z53" s="69"/>
      <c r="AA53" s="69"/>
      <c r="AB53" s="69"/>
      <c r="AC53" s="69"/>
      <c r="AD53" s="69"/>
      <c r="AE53" s="69"/>
      <c r="AF53" s="69"/>
      <c r="AG53" s="69"/>
      <c r="AH53" s="69"/>
      <c r="AI53" s="69"/>
      <c r="AJ53" s="69"/>
      <c r="AK53" s="33"/>
      <c r="AL53" s="3" t="s">
        <v>40</v>
      </c>
      <c r="AM53" s="30">
        <f>Mtoe!O53</f>
        <v>1</v>
      </c>
      <c r="AN53" s="30">
        <f>Mtoe!P53</f>
        <v>1</v>
      </c>
      <c r="AO53" s="30">
        <f>Mtoe!Q53</f>
        <v>1</v>
      </c>
      <c r="AP53" s="30">
        <f>Mtoe!R53</f>
        <v>1</v>
      </c>
      <c r="AQ53" s="30">
        <f>Mtoe!S53</f>
        <v>1</v>
      </c>
      <c r="AR53" s="30">
        <f>Mtoe!T53</f>
        <v>1</v>
      </c>
      <c r="AS53" s="30">
        <f>Mtoe!U53</f>
        <v>1</v>
      </c>
      <c r="AT53" s="30">
        <f>Mtoe!V53</f>
        <v>1</v>
      </c>
      <c r="AU53" s="30">
        <f>Mtoe!W53</f>
        <v>1</v>
      </c>
      <c r="AV53" s="30">
        <f>Mtoe!X53</f>
        <v>1</v>
      </c>
      <c r="AW53" s="36"/>
      <c r="AX53" s="3" t="s">
        <v>40</v>
      </c>
      <c r="AY53" s="209"/>
      <c r="AZ53" s="209"/>
      <c r="BA53" s="209">
        <f t="shared" si="22"/>
        <v>0</v>
      </c>
      <c r="BB53" s="209">
        <f>AP53*E53</f>
        <v>0</v>
      </c>
      <c r="BC53" s="209"/>
      <c r="BD53" s="209"/>
      <c r="BE53" s="209"/>
      <c r="BF53" s="209"/>
      <c r="BG53" s="209">
        <f>AU53*J53</f>
        <v>0</v>
      </c>
      <c r="BH53" s="209"/>
      <c r="BI53" s="215">
        <f t="shared" si="6"/>
        <v>0</v>
      </c>
      <c r="BJ53" s="33"/>
      <c r="BK53" s="202" t="s">
        <v>40</v>
      </c>
      <c r="BL53" s="205"/>
      <c r="BM53" s="157"/>
      <c r="BN53" s="157">
        <f t="shared" si="25"/>
        <v>0</v>
      </c>
      <c r="BO53" s="157">
        <f>BB53*BO$6</f>
        <v>0</v>
      </c>
      <c r="BP53" s="157"/>
      <c r="BQ53" s="157"/>
      <c r="BR53" s="157"/>
      <c r="BS53" s="157">
        <f>BF53*BS$6</f>
        <v>0</v>
      </c>
      <c r="BT53" s="157" t="e">
        <f t="shared" si="23"/>
        <v>#DIV/0!</v>
      </c>
      <c r="BU53" s="157" t="e">
        <f t="shared" si="23"/>
        <v>#DIV/0!</v>
      </c>
      <c r="BV53" s="158" t="e">
        <f t="shared" si="24"/>
        <v>#DIV/0!</v>
      </c>
      <c r="BW53" s="4" t="e">
        <f t="shared" si="14"/>
        <v>#DIV/0!</v>
      </c>
      <c r="BX53" s="4" t="s">
        <v>110</v>
      </c>
      <c r="BY53" s="4">
        <v>0.06506698235283224</v>
      </c>
      <c r="BZ53" t="s">
        <v>110</v>
      </c>
    </row>
    <row r="54" spans="1:78" ht="12.75">
      <c r="A54" s="153" t="s">
        <v>121</v>
      </c>
      <c r="B54" s="65"/>
      <c r="C54" s="65"/>
      <c r="D54" s="65">
        <f>PMemission!D54*(D112)</f>
        <v>9.78142857142857</v>
      </c>
      <c r="E54" s="65"/>
      <c r="F54" s="65"/>
      <c r="G54" s="65"/>
      <c r="H54" s="65"/>
      <c r="I54" s="65"/>
      <c r="J54" s="65"/>
      <c r="K54" s="65"/>
      <c r="L54" s="72"/>
      <c r="M54" s="33"/>
      <c r="N54" s="65"/>
      <c r="O54" s="65"/>
      <c r="P54" s="65">
        <f>PMemission!P54*(P112)</f>
        <v>662.2842261904761</v>
      </c>
      <c r="Q54" s="65"/>
      <c r="R54" s="65"/>
      <c r="S54" s="65"/>
      <c r="T54" s="65"/>
      <c r="U54" s="65"/>
      <c r="V54" s="65"/>
      <c r="W54" s="65"/>
      <c r="X54" s="72"/>
      <c r="Y54" s="33"/>
      <c r="Z54" s="69"/>
      <c r="AA54" s="69"/>
      <c r="AB54" s="69"/>
      <c r="AC54" s="69"/>
      <c r="AD54" s="69"/>
      <c r="AE54" s="69"/>
      <c r="AF54" s="69"/>
      <c r="AG54" s="69"/>
      <c r="AH54" s="69"/>
      <c r="AI54" s="69"/>
      <c r="AJ54" s="69"/>
      <c r="AK54" s="33"/>
      <c r="AL54" s="3" t="s">
        <v>41</v>
      </c>
      <c r="AM54" s="30">
        <f>Mtoe!O54</f>
        <v>1</v>
      </c>
      <c r="AN54" s="30">
        <f>Mtoe!P54</f>
        <v>1</v>
      </c>
      <c r="AO54" s="30">
        <f>Mtoe!Q54</f>
        <v>1</v>
      </c>
      <c r="AP54" s="30">
        <f>Mtoe!R54</f>
        <v>1</v>
      </c>
      <c r="AQ54" s="30">
        <f>Mtoe!S54</f>
        <v>1</v>
      </c>
      <c r="AR54" s="30">
        <f>Mtoe!T54</f>
        <v>1</v>
      </c>
      <c r="AS54" s="30">
        <f>Mtoe!U54</f>
        <v>1</v>
      </c>
      <c r="AT54" s="30">
        <f>Mtoe!V54</f>
        <v>1</v>
      </c>
      <c r="AU54" s="30">
        <f>Mtoe!W54</f>
        <v>1</v>
      </c>
      <c r="AV54" s="30">
        <f>Mtoe!X54</f>
        <v>1</v>
      </c>
      <c r="AW54" s="36"/>
      <c r="AX54" s="3" t="s">
        <v>41</v>
      </c>
      <c r="AY54" s="209"/>
      <c r="AZ54" s="209"/>
      <c r="BA54" s="209">
        <f t="shared" si="22"/>
        <v>9.78142857142857</v>
      </c>
      <c r="BB54" s="209"/>
      <c r="BC54" s="209"/>
      <c r="BD54" s="209"/>
      <c r="BE54" s="209"/>
      <c r="BF54" s="209"/>
      <c r="BG54" s="209"/>
      <c r="BH54" s="209"/>
      <c r="BI54" s="215">
        <f t="shared" si="6"/>
        <v>9.78142857142857</v>
      </c>
      <c r="BJ54" s="33"/>
      <c r="BK54" s="202" t="s">
        <v>41</v>
      </c>
      <c r="BL54" s="205"/>
      <c r="BM54" s="157"/>
      <c r="BN54" s="157">
        <f t="shared" si="25"/>
        <v>30.586233699999994</v>
      </c>
      <c r="BO54" s="157">
        <f>BB54*BO$6</f>
        <v>0</v>
      </c>
      <c r="BP54" s="157"/>
      <c r="BQ54" s="157"/>
      <c r="BR54" s="157"/>
      <c r="BS54" s="157">
        <f>BF54*BS$6</f>
        <v>0</v>
      </c>
      <c r="BT54" s="157" t="e">
        <f t="shared" si="23"/>
        <v>#DIV/0!</v>
      </c>
      <c r="BU54" s="157" t="e">
        <f t="shared" si="23"/>
        <v>#DIV/0!</v>
      </c>
      <c r="BV54" s="158" t="e">
        <f t="shared" si="24"/>
        <v>#DIV/0!</v>
      </c>
      <c r="BW54" s="4" t="e">
        <f t="shared" si="14"/>
        <v>#DIV/0!</v>
      </c>
      <c r="BX54" s="4" t="s">
        <v>110</v>
      </c>
      <c r="BY54" s="4">
        <v>0.45272248986005514</v>
      </c>
      <c r="BZ54" t="s">
        <v>110</v>
      </c>
    </row>
    <row r="55" spans="1:78" ht="12.75">
      <c r="A55" s="64" t="s">
        <v>118</v>
      </c>
      <c r="B55" s="65"/>
      <c r="C55" s="65"/>
      <c r="D55" s="65">
        <f>PMemission!D55*(D113)</f>
        <v>213.70761904761903</v>
      </c>
      <c r="E55" s="65"/>
      <c r="F55" s="65"/>
      <c r="G55" s="65"/>
      <c r="H55" s="65"/>
      <c r="I55" s="65"/>
      <c r="J55" s="65"/>
      <c r="K55" s="65"/>
      <c r="L55" s="72"/>
      <c r="M55" s="33"/>
      <c r="N55" s="65"/>
      <c r="O55" s="65"/>
      <c r="P55" s="72">
        <f>PMemission!P55*(P113)</f>
        <v>1627.8510044642856</v>
      </c>
      <c r="Q55" s="65"/>
      <c r="R55" s="65"/>
      <c r="S55" s="65"/>
      <c r="T55" s="65"/>
      <c r="U55" s="65"/>
      <c r="V55" s="65"/>
      <c r="W55" s="65"/>
      <c r="X55" s="72"/>
      <c r="Y55" s="33"/>
      <c r="Z55" s="69"/>
      <c r="AA55" s="69"/>
      <c r="AB55" s="69"/>
      <c r="AC55" s="69"/>
      <c r="AD55" s="69"/>
      <c r="AE55" s="69"/>
      <c r="AF55" s="69"/>
      <c r="AG55" s="69"/>
      <c r="AH55" s="69"/>
      <c r="AI55" s="69"/>
      <c r="AJ55" s="69"/>
      <c r="AK55" s="33"/>
      <c r="AL55" s="3" t="s">
        <v>118</v>
      </c>
      <c r="AM55" s="30">
        <f>Mtoe!O55</f>
        <v>1</v>
      </c>
      <c r="AN55" s="30">
        <f>Mtoe!P55</f>
        <v>1</v>
      </c>
      <c r="AO55" s="30">
        <f>Mtoe!Q55</f>
        <v>1</v>
      </c>
      <c r="AP55" s="30">
        <f>Mtoe!R55</f>
        <v>1</v>
      </c>
      <c r="AQ55" s="30">
        <f>Mtoe!S55</f>
        <v>1</v>
      </c>
      <c r="AR55" s="30">
        <f>Mtoe!T55</f>
        <v>1</v>
      </c>
      <c r="AS55" s="30">
        <f>Mtoe!U55</f>
        <v>1</v>
      </c>
      <c r="AT55" s="30">
        <f>Mtoe!V55</f>
        <v>1</v>
      </c>
      <c r="AU55" s="30">
        <f>Mtoe!W55</f>
        <v>1</v>
      </c>
      <c r="AV55" s="30">
        <f>Mtoe!X55</f>
        <v>1</v>
      </c>
      <c r="AW55" s="36"/>
      <c r="AX55" s="3" t="s">
        <v>118</v>
      </c>
      <c r="AY55" s="209"/>
      <c r="AZ55" s="209"/>
      <c r="BA55" s="209">
        <f t="shared" si="22"/>
        <v>213.70761904761903</v>
      </c>
      <c r="BB55" s="209"/>
      <c r="BC55" s="209"/>
      <c r="BD55" s="209"/>
      <c r="BE55" s="209"/>
      <c r="BF55" s="209"/>
      <c r="BG55" s="209"/>
      <c r="BH55" s="209"/>
      <c r="BI55" s="215">
        <f t="shared" si="6"/>
        <v>213.70761904761903</v>
      </c>
      <c r="BJ55" s="33"/>
      <c r="BK55" s="203" t="s">
        <v>118</v>
      </c>
      <c r="BL55" s="205"/>
      <c r="BM55" s="157"/>
      <c r="BN55" s="157">
        <f t="shared" si="25"/>
        <v>668.2573135333332</v>
      </c>
      <c r="BO55" s="157"/>
      <c r="BP55" s="157"/>
      <c r="BQ55" s="157"/>
      <c r="BR55" s="157"/>
      <c r="BS55" s="157"/>
      <c r="BT55" s="157"/>
      <c r="BU55" s="157"/>
      <c r="BV55" s="158">
        <f t="shared" si="24"/>
        <v>668.2573135333332</v>
      </c>
      <c r="BW55" s="4" t="e">
        <f t="shared" si="14"/>
        <v>#DIV/0!</v>
      </c>
      <c r="BX55" s="4" t="s">
        <v>110</v>
      </c>
      <c r="BY55" s="4">
        <v>3.709206866772577</v>
      </c>
      <c r="BZ55" t="s">
        <v>110</v>
      </c>
    </row>
    <row r="56" spans="1:78" ht="13.5" thickBot="1">
      <c r="A56" s="73" t="s">
        <v>35</v>
      </c>
      <c r="B56" s="253"/>
      <c r="C56" s="74"/>
      <c r="D56" s="74"/>
      <c r="E56" s="74"/>
      <c r="F56" s="74"/>
      <c r="G56" s="74"/>
      <c r="H56" s="74"/>
      <c r="I56" s="74"/>
      <c r="J56" s="74"/>
      <c r="K56" s="70"/>
      <c r="L56" s="96"/>
      <c r="M56" s="33"/>
      <c r="N56" s="253"/>
      <c r="O56" s="74"/>
      <c r="P56" s="74"/>
      <c r="Q56" s="74"/>
      <c r="R56" s="74"/>
      <c r="S56" s="74"/>
      <c r="T56" s="74"/>
      <c r="U56" s="74"/>
      <c r="V56" s="74"/>
      <c r="W56" s="70"/>
      <c r="X56" s="96"/>
      <c r="Y56" s="33"/>
      <c r="Z56" s="378"/>
      <c r="AA56" s="378"/>
      <c r="AB56" s="378"/>
      <c r="AC56" s="378"/>
      <c r="AD56" s="378"/>
      <c r="AE56" s="378"/>
      <c r="AF56" s="378"/>
      <c r="AG56" s="378"/>
      <c r="AH56" s="378"/>
      <c r="AI56" s="378"/>
      <c r="AJ56" s="378"/>
      <c r="AK56" s="33"/>
      <c r="AL56" s="6" t="s">
        <v>35</v>
      </c>
      <c r="AM56" s="30">
        <f>Mtoe!O56</f>
        <v>1</v>
      </c>
      <c r="AN56" s="30">
        <f>Mtoe!P56</f>
        <v>1</v>
      </c>
      <c r="AO56" s="30">
        <f>Mtoe!Q56</f>
        <v>1</v>
      </c>
      <c r="AP56" s="30">
        <f>Mtoe!R56</f>
        <v>1</v>
      </c>
      <c r="AQ56" s="30">
        <f>Mtoe!S56</f>
        <v>1</v>
      </c>
      <c r="AR56" s="30">
        <f>Mtoe!T56</f>
        <v>1</v>
      </c>
      <c r="AS56" s="30">
        <f>Mtoe!U56</f>
        <v>1</v>
      </c>
      <c r="AT56" s="30">
        <f>Mtoe!V56</f>
        <v>1</v>
      </c>
      <c r="AU56" s="30">
        <f>Mtoe!W56</f>
        <v>1</v>
      </c>
      <c r="AV56" s="30">
        <f>Mtoe!X56</f>
        <v>1</v>
      </c>
      <c r="AW56" s="41"/>
      <c r="AX56" s="6" t="s">
        <v>35</v>
      </c>
      <c r="AY56" s="219"/>
      <c r="AZ56" s="219"/>
      <c r="BA56" s="219">
        <f t="shared" si="22"/>
        <v>0</v>
      </c>
      <c r="BB56" s="219">
        <f>AP56*E56</f>
        <v>0</v>
      </c>
      <c r="BC56" s="219"/>
      <c r="BD56" s="219"/>
      <c r="BE56" s="219"/>
      <c r="BF56" s="219"/>
      <c r="BG56" s="219">
        <f>AU56*J56</f>
        <v>0</v>
      </c>
      <c r="BH56" s="219"/>
      <c r="BI56" s="220">
        <f t="shared" si="6"/>
        <v>0</v>
      </c>
      <c r="BJ56" s="33"/>
      <c r="BK56" s="204" t="s">
        <v>35</v>
      </c>
      <c r="BL56" s="161"/>
      <c r="BM56" s="162"/>
      <c r="BN56" s="162">
        <f t="shared" si="25"/>
        <v>0</v>
      </c>
      <c r="BO56" s="162">
        <f>BB56*BO$6</f>
        <v>0</v>
      </c>
      <c r="BP56" s="162"/>
      <c r="BQ56" s="162"/>
      <c r="BR56" s="162"/>
      <c r="BS56" s="162">
        <f>BF56*BS$6</f>
        <v>0</v>
      </c>
      <c r="BT56" s="162" t="e">
        <f t="shared" si="23"/>
        <v>#DIV/0!</v>
      </c>
      <c r="BU56" s="162" t="e">
        <f t="shared" si="23"/>
        <v>#DIV/0!</v>
      </c>
      <c r="BV56" s="163" t="e">
        <f t="shared" si="24"/>
        <v>#DIV/0!</v>
      </c>
      <c r="BW56" s="195" t="e">
        <f t="shared" si="14"/>
        <v>#DIV/0!</v>
      </c>
      <c r="BX56" s="193" t="s">
        <v>110</v>
      </c>
      <c r="BY56" s="193">
        <v>0.11776432660704958</v>
      </c>
      <c r="BZ56" s="182" t="s">
        <v>110</v>
      </c>
    </row>
    <row r="57" spans="1:78" ht="12.75">
      <c r="A57" s="71" t="s">
        <v>42</v>
      </c>
      <c r="B57" s="72"/>
      <c r="C57" s="72"/>
      <c r="D57" s="72"/>
      <c r="E57" s="72"/>
      <c r="F57" s="72"/>
      <c r="G57" s="72"/>
      <c r="H57" s="72"/>
      <c r="I57" s="72"/>
      <c r="J57" s="72"/>
      <c r="K57" s="122"/>
      <c r="L57" s="71"/>
      <c r="M57" s="33"/>
      <c r="N57" s="72"/>
      <c r="O57" s="72"/>
      <c r="P57" s="72"/>
      <c r="Q57" s="72"/>
      <c r="R57" s="72"/>
      <c r="S57" s="72"/>
      <c r="T57" s="72"/>
      <c r="U57" s="72"/>
      <c r="V57" s="72"/>
      <c r="W57" s="122"/>
      <c r="X57" s="71"/>
      <c r="Y57" s="33"/>
      <c r="Z57" s="69"/>
      <c r="AA57" s="69"/>
      <c r="AB57" s="69"/>
      <c r="AC57" s="69"/>
      <c r="AD57" s="69"/>
      <c r="AE57" s="69"/>
      <c r="AF57" s="69"/>
      <c r="AG57" s="69"/>
      <c r="AH57" s="69"/>
      <c r="AI57" s="69"/>
      <c r="AJ57" s="69"/>
      <c r="AK57" s="33"/>
      <c r="AL57" s="5" t="s">
        <v>42</v>
      </c>
      <c r="AM57" s="15"/>
      <c r="AN57" s="15"/>
      <c r="AO57" s="15"/>
      <c r="AP57" s="15"/>
      <c r="AQ57" s="15"/>
      <c r="AR57" s="15"/>
      <c r="AS57" s="15"/>
      <c r="AT57" s="15"/>
      <c r="AU57" s="15"/>
      <c r="AV57" s="15"/>
      <c r="AW57" s="40"/>
      <c r="AX57" s="5" t="s">
        <v>42</v>
      </c>
      <c r="AY57" s="218">
        <f>SUM(AY58:AY62)</f>
        <v>12907.15234375</v>
      </c>
      <c r="AZ57" s="218">
        <f>SUM(AZ58:AZ62)</f>
        <v>0</v>
      </c>
      <c r="BA57" s="218">
        <f aca="true" t="shared" si="26" ref="BA57:BI57">SUM(BA58:BA62)</f>
        <v>258.4952380952381</v>
      </c>
      <c r="BB57" s="218">
        <f t="shared" si="26"/>
        <v>0</v>
      </c>
      <c r="BC57" s="218">
        <f>SUM(BC58:BC62)</f>
        <v>0</v>
      </c>
      <c r="BD57" s="218">
        <f>SUM(BD58:BD62)</f>
        <v>0</v>
      </c>
      <c r="BE57" s="218">
        <f>SUM(BE58:BE62)</f>
        <v>0</v>
      </c>
      <c r="BF57" s="218">
        <f t="shared" si="26"/>
        <v>29071.928571428572</v>
      </c>
      <c r="BG57" s="218">
        <f t="shared" si="26"/>
        <v>0</v>
      </c>
      <c r="BH57" s="218">
        <f t="shared" si="26"/>
        <v>0</v>
      </c>
      <c r="BI57" s="215">
        <f t="shared" si="26"/>
        <v>42237.5761532738</v>
      </c>
      <c r="BJ57" s="33"/>
      <c r="BK57" s="112" t="s">
        <v>42</v>
      </c>
      <c r="BL57" s="160">
        <f aca="true" t="shared" si="27" ref="BL57:BU57">SUM(BL58:BL62)</f>
        <v>49795.14838457031</v>
      </c>
      <c r="BM57" s="160">
        <f t="shared" si="27"/>
        <v>0</v>
      </c>
      <c r="BN57" s="160">
        <f t="shared" si="27"/>
        <v>808.3068546666667</v>
      </c>
      <c r="BO57" s="160">
        <f t="shared" si="27"/>
        <v>0</v>
      </c>
      <c r="BP57" s="160">
        <f t="shared" si="27"/>
        <v>0</v>
      </c>
      <c r="BQ57" s="160">
        <f t="shared" si="27"/>
        <v>0</v>
      </c>
      <c r="BR57" s="160">
        <f t="shared" si="27"/>
        <v>0</v>
      </c>
      <c r="BS57" s="160">
        <f t="shared" si="27"/>
        <v>139312.10027571427</v>
      </c>
      <c r="BT57" s="160" t="e">
        <f>SUM(BT58:BT62)</f>
        <v>#DIV/0!</v>
      </c>
      <c r="BU57" s="160" t="e">
        <f t="shared" si="27"/>
        <v>#DIV/0!</v>
      </c>
      <c r="BV57" s="158" t="e">
        <f>SUM(BV58:BV62)</f>
        <v>#DIV/0!</v>
      </c>
      <c r="BW57" s="15" t="e">
        <f t="shared" si="14"/>
        <v>#DIV/0!</v>
      </c>
      <c r="BX57" s="4" t="s">
        <v>110</v>
      </c>
      <c r="BY57" s="4">
        <v>30.489256662494174</v>
      </c>
      <c r="BZ57" t="s">
        <v>110</v>
      </c>
    </row>
    <row r="58" spans="1:78" ht="12.75">
      <c r="A58" s="64" t="s">
        <v>43</v>
      </c>
      <c r="B58" s="72">
        <f>PMemission!B58*(B116)</f>
        <v>12365.6640625</v>
      </c>
      <c r="C58" s="65"/>
      <c r="D58" s="65">
        <f>PMemission!D58*(D116)</f>
        <v>223.74285714285716</v>
      </c>
      <c r="E58" s="65"/>
      <c r="F58" s="65"/>
      <c r="G58" s="65"/>
      <c r="H58" s="65"/>
      <c r="I58" s="72">
        <f>PMemission!I58*(I116)</f>
        <v>28369.071428571428</v>
      </c>
      <c r="J58" s="65"/>
      <c r="K58" s="121"/>
      <c r="L58" s="71"/>
      <c r="M58" s="33"/>
      <c r="N58" s="65">
        <f>PMemission!N58*(N116)</f>
        <v>789.4151611328126</v>
      </c>
      <c r="O58" s="65"/>
      <c r="P58" s="65">
        <f>PMemission!P58*(P116)</f>
        <v>363.58214285714286</v>
      </c>
      <c r="Q58" s="65"/>
      <c r="R58" s="65"/>
      <c r="S58" s="65"/>
      <c r="T58" s="65"/>
      <c r="U58" s="65">
        <f>PMemission!U58*(U116)</f>
        <v>768.3290178571428</v>
      </c>
      <c r="V58" s="65"/>
      <c r="W58" s="121"/>
      <c r="X58" s="71"/>
      <c r="Y58" s="33"/>
      <c r="Z58" s="72">
        <f>PMemission!Z58*(Z116)</f>
        <v>7720.999999999999</v>
      </c>
      <c r="AA58" s="65"/>
      <c r="AB58" s="72">
        <f>PMemission!AB58*(AB116)</f>
        <v>916.8000000000001</v>
      </c>
      <c r="AC58" s="69"/>
      <c r="AD58" s="69"/>
      <c r="AE58" s="69"/>
      <c r="AF58" s="69"/>
      <c r="AG58" s="69"/>
      <c r="AH58" s="69"/>
      <c r="AI58" s="69"/>
      <c r="AJ58" s="69"/>
      <c r="AK58" s="33"/>
      <c r="AL58" s="3" t="s">
        <v>43</v>
      </c>
      <c r="AM58" s="30">
        <f>Mtoe!O58</f>
        <v>1</v>
      </c>
      <c r="AN58" s="30">
        <f>Mtoe!P58</f>
        <v>1</v>
      </c>
      <c r="AO58" s="30">
        <f>Mtoe!Q58</f>
        <v>1</v>
      </c>
      <c r="AP58" s="30">
        <f>Mtoe!R58</f>
        <v>1</v>
      </c>
      <c r="AQ58" s="30">
        <f>Mtoe!S58</f>
        <v>1</v>
      </c>
      <c r="AR58" s="30">
        <f>Mtoe!T58</f>
        <v>1</v>
      </c>
      <c r="AS58" s="30">
        <f>Mtoe!U58</f>
        <v>1</v>
      </c>
      <c r="AT58" s="30">
        <f>Mtoe!V58</f>
        <v>1</v>
      </c>
      <c r="AU58" s="30">
        <f>Mtoe!W58</f>
        <v>1</v>
      </c>
      <c r="AV58" s="30">
        <f>Mtoe!X58</f>
        <v>1</v>
      </c>
      <c r="AW58" s="36"/>
      <c r="AX58" s="3" t="s">
        <v>43</v>
      </c>
      <c r="AY58" s="209">
        <f>AM58*B58</f>
        <v>12365.6640625</v>
      </c>
      <c r="AZ58" s="209"/>
      <c r="BA58" s="209">
        <f>AO58*D58</f>
        <v>223.74285714285716</v>
      </c>
      <c r="BB58" s="209">
        <f>AP58*E58</f>
        <v>0</v>
      </c>
      <c r="BC58" s="209"/>
      <c r="BD58" s="209"/>
      <c r="BE58" s="209"/>
      <c r="BF58" s="209">
        <f>AT58*I58</f>
        <v>28369.071428571428</v>
      </c>
      <c r="BG58" s="209">
        <f>AU58*J58</f>
        <v>0</v>
      </c>
      <c r="BH58" s="209">
        <f>AV58*K58</f>
        <v>0</v>
      </c>
      <c r="BI58" s="215">
        <f t="shared" si="6"/>
        <v>40958.47834821428</v>
      </c>
      <c r="BJ58" s="33"/>
      <c r="BK58" s="110" t="s">
        <v>43</v>
      </c>
      <c r="BL58" s="157">
        <f aca="true" t="shared" si="28" ref="BL58:BO62">AY58*BL$6</f>
        <v>47706.11366992187</v>
      </c>
      <c r="BM58" s="157">
        <f t="shared" si="28"/>
        <v>0</v>
      </c>
      <c r="BN58" s="157">
        <f t="shared" si="28"/>
        <v>699.637202</v>
      </c>
      <c r="BO58" s="157">
        <f t="shared" si="28"/>
        <v>0</v>
      </c>
      <c r="BP58" s="157"/>
      <c r="BQ58" s="157"/>
      <c r="BR58" s="157"/>
      <c r="BS58" s="157">
        <f>BF58*BS$6</f>
        <v>135944.0229042857</v>
      </c>
      <c r="BT58" s="157" t="e">
        <f aca="true" t="shared" si="29" ref="BT58:BU62">BT$32*BG58/BG$32</f>
        <v>#DIV/0!</v>
      </c>
      <c r="BU58" s="157" t="e">
        <f t="shared" si="29"/>
        <v>#DIV/0!</v>
      </c>
      <c r="BV58" s="158" t="e">
        <f>SUM(BL58:BU58)</f>
        <v>#DIV/0!</v>
      </c>
      <c r="BW58" s="4" t="e">
        <f t="shared" si="14"/>
        <v>#DIV/0!</v>
      </c>
      <c r="BX58" s="4" t="s">
        <v>110</v>
      </c>
      <c r="BY58" s="4">
        <v>16.89005536697862</v>
      </c>
      <c r="BZ58" t="s">
        <v>110</v>
      </c>
    </row>
    <row r="59" spans="1:78" ht="12.75">
      <c r="A59" s="64" t="s">
        <v>44</v>
      </c>
      <c r="B59" s="65">
        <f>PMemission!B59*(B117)</f>
        <v>420.41015625</v>
      </c>
      <c r="C59" s="65"/>
      <c r="D59" s="65">
        <f>PMemission!D59*(D117)</f>
        <v>25.127142857142857</v>
      </c>
      <c r="E59" s="65"/>
      <c r="F59" s="65"/>
      <c r="G59" s="65"/>
      <c r="H59" s="65"/>
      <c r="I59" s="65">
        <f>PMemission!I59*(I117)</f>
        <v>566.6785714285713</v>
      </c>
      <c r="J59" s="65"/>
      <c r="K59" s="121"/>
      <c r="L59" s="71"/>
      <c r="M59" s="33"/>
      <c r="N59" s="65">
        <f>PMemission!N59*(N117)</f>
        <v>89.46228027343751</v>
      </c>
      <c r="O59" s="65"/>
      <c r="P59" s="65">
        <f>PMemission!P59*(P117)</f>
        <v>136.10535714285714</v>
      </c>
      <c r="Q59" s="65"/>
      <c r="R59" s="65"/>
      <c r="S59" s="65"/>
      <c r="T59" s="65"/>
      <c r="U59" s="65">
        <f>PMemission!U59*(U117)</f>
        <v>51.15848214285714</v>
      </c>
      <c r="V59" s="65"/>
      <c r="W59" s="121"/>
      <c r="X59" s="71"/>
      <c r="Y59" s="33"/>
      <c r="Z59" s="65"/>
      <c r="AA59" s="65"/>
      <c r="AB59" s="65"/>
      <c r="AC59" s="69"/>
      <c r="AD59" s="69"/>
      <c r="AE59" s="69"/>
      <c r="AF59" s="69"/>
      <c r="AG59" s="69"/>
      <c r="AH59" s="69"/>
      <c r="AI59" s="69"/>
      <c r="AJ59" s="69"/>
      <c r="AK59" s="33"/>
      <c r="AL59" s="3" t="s">
        <v>44</v>
      </c>
      <c r="AM59" s="30">
        <f>Mtoe!O59</f>
        <v>1</v>
      </c>
      <c r="AN59" s="30">
        <f>Mtoe!P59</f>
        <v>1</v>
      </c>
      <c r="AO59" s="30">
        <f>Mtoe!Q59</f>
        <v>1</v>
      </c>
      <c r="AP59" s="30">
        <f>Mtoe!R59</f>
        <v>1</v>
      </c>
      <c r="AQ59" s="30">
        <f>Mtoe!S59</f>
        <v>1</v>
      </c>
      <c r="AR59" s="30">
        <f>Mtoe!T59</f>
        <v>1</v>
      </c>
      <c r="AS59" s="30">
        <f>Mtoe!U59</f>
        <v>1</v>
      </c>
      <c r="AT59" s="30">
        <f>Mtoe!V59</f>
        <v>1</v>
      </c>
      <c r="AU59" s="30">
        <f>Mtoe!W59</f>
        <v>1</v>
      </c>
      <c r="AV59" s="30">
        <f>Mtoe!X59</f>
        <v>1</v>
      </c>
      <c r="AW59" s="36"/>
      <c r="AX59" s="3" t="s">
        <v>44</v>
      </c>
      <c r="AY59" s="209">
        <f>AM59*B59</f>
        <v>420.41015625</v>
      </c>
      <c r="AZ59" s="209"/>
      <c r="BA59" s="209">
        <f>AO59*D59</f>
        <v>25.127142857142857</v>
      </c>
      <c r="BB59" s="209">
        <f>AP59*E59</f>
        <v>0</v>
      </c>
      <c r="BC59" s="209"/>
      <c r="BD59" s="209"/>
      <c r="BE59" s="209"/>
      <c r="BF59" s="209">
        <f>AT59*I59</f>
        <v>566.6785714285713</v>
      </c>
      <c r="BG59" s="209">
        <f>AU59*J59</f>
        <v>0</v>
      </c>
      <c r="BH59" s="211">
        <f>AV59*K59</f>
        <v>0</v>
      </c>
      <c r="BI59" s="215">
        <f t="shared" si="6"/>
        <v>1012.2158705357142</v>
      </c>
      <c r="BJ59" s="33"/>
      <c r="BK59" s="110" t="s">
        <v>44</v>
      </c>
      <c r="BL59" s="157">
        <f t="shared" si="28"/>
        <v>1621.9213623046874</v>
      </c>
      <c r="BM59" s="157">
        <f t="shared" si="28"/>
        <v>0</v>
      </c>
      <c r="BN59" s="157">
        <f t="shared" si="28"/>
        <v>78.57182189999999</v>
      </c>
      <c r="BO59" s="157">
        <f t="shared" si="28"/>
        <v>0</v>
      </c>
      <c r="BP59" s="157"/>
      <c r="BQ59" s="157"/>
      <c r="BR59" s="157"/>
      <c r="BS59" s="157">
        <f>BF59*BS$6</f>
        <v>2715.512380714285</v>
      </c>
      <c r="BT59" s="157" t="e">
        <f t="shared" si="29"/>
        <v>#DIV/0!</v>
      </c>
      <c r="BU59" s="157" t="e">
        <f t="shared" si="29"/>
        <v>#DIV/0!</v>
      </c>
      <c r="BV59" s="158" t="e">
        <f>SUM(BL59:BU59)</f>
        <v>#DIV/0!</v>
      </c>
      <c r="BW59" s="4" t="e">
        <f t="shared" si="14"/>
        <v>#DIV/0!</v>
      </c>
      <c r="BX59" s="4" t="s">
        <v>110</v>
      </c>
      <c r="BY59" s="4">
        <v>9.372445368468192</v>
      </c>
      <c r="BZ59" t="s">
        <v>110</v>
      </c>
    </row>
    <row r="60" spans="1:78" ht="12.75">
      <c r="A60" s="64" t="s">
        <v>45</v>
      </c>
      <c r="B60" s="65">
        <f>PMemission!B60*(B118)</f>
        <v>121.078125</v>
      </c>
      <c r="C60" s="65"/>
      <c r="D60" s="65">
        <f>PMemission!D60*(D118)</f>
        <v>8.805238095238094</v>
      </c>
      <c r="E60" s="65"/>
      <c r="F60" s="65"/>
      <c r="G60" s="65"/>
      <c r="H60" s="65"/>
      <c r="I60" s="65">
        <f>PMemission!I60*(I118)</f>
        <v>136.17857142857142</v>
      </c>
      <c r="J60" s="65"/>
      <c r="K60" s="121"/>
      <c r="L60" s="71"/>
      <c r="M60" s="33"/>
      <c r="N60" s="65">
        <f>PMemission!N60*(N118)</f>
        <v>77.29541015625001</v>
      </c>
      <c r="O60" s="65"/>
      <c r="P60" s="65">
        <f>PMemission!P60*(P118)</f>
        <v>143.08511904761903</v>
      </c>
      <c r="Q60" s="65"/>
      <c r="R60" s="65"/>
      <c r="S60" s="65"/>
      <c r="T60" s="65"/>
      <c r="U60" s="65">
        <f>PMemission!U60*(U118)</f>
        <v>36.88169642857142</v>
      </c>
      <c r="V60" s="65"/>
      <c r="W60" s="121"/>
      <c r="X60" s="71"/>
      <c r="Y60" s="33"/>
      <c r="Z60" s="65"/>
      <c r="AA60" s="65"/>
      <c r="AB60" s="65"/>
      <c r="AC60" s="69"/>
      <c r="AD60" s="69"/>
      <c r="AE60" s="69"/>
      <c r="AF60" s="69"/>
      <c r="AG60" s="69"/>
      <c r="AH60" s="69"/>
      <c r="AI60" s="69"/>
      <c r="AJ60" s="69"/>
      <c r="AK60" s="33"/>
      <c r="AL60" s="3" t="s">
        <v>45</v>
      </c>
      <c r="AM60" s="30">
        <f>Mtoe!O60</f>
        <v>1</v>
      </c>
      <c r="AN60" s="30">
        <f>Mtoe!P60</f>
        <v>1</v>
      </c>
      <c r="AO60" s="30">
        <f>Mtoe!Q60</f>
        <v>1</v>
      </c>
      <c r="AP60" s="30">
        <f>Mtoe!R60</f>
        <v>1</v>
      </c>
      <c r="AQ60" s="30">
        <f>Mtoe!S60</f>
        <v>1</v>
      </c>
      <c r="AR60" s="30">
        <f>Mtoe!T60</f>
        <v>1</v>
      </c>
      <c r="AS60" s="30">
        <f>Mtoe!U60</f>
        <v>1</v>
      </c>
      <c r="AT60" s="30">
        <f>Mtoe!V60</f>
        <v>1</v>
      </c>
      <c r="AU60" s="30">
        <f>Mtoe!W60</f>
        <v>1</v>
      </c>
      <c r="AV60" s="30">
        <f>Mtoe!X60</f>
        <v>1</v>
      </c>
      <c r="AW60" s="36"/>
      <c r="AX60" s="3" t="s">
        <v>45</v>
      </c>
      <c r="AY60" s="209">
        <f>AM60*B60</f>
        <v>121.078125</v>
      </c>
      <c r="AZ60" s="209"/>
      <c r="BA60" s="209">
        <f>AO60*D60</f>
        <v>8.805238095238094</v>
      </c>
      <c r="BB60" s="209">
        <f>AP60*E60</f>
        <v>0</v>
      </c>
      <c r="BC60" s="209"/>
      <c r="BD60" s="209"/>
      <c r="BE60" s="209"/>
      <c r="BF60" s="209">
        <f>AT60*I60</f>
        <v>136.17857142857142</v>
      </c>
      <c r="BG60" s="209">
        <f>AU60*J60</f>
        <v>0</v>
      </c>
      <c r="BH60" s="211">
        <f>AV60*K60</f>
        <v>0</v>
      </c>
      <c r="BI60" s="215">
        <f t="shared" si="6"/>
        <v>266.0619345238095</v>
      </c>
      <c r="BJ60" s="33"/>
      <c r="BK60" s="110" t="s">
        <v>45</v>
      </c>
      <c r="BL60" s="157">
        <f t="shared" si="28"/>
        <v>467.11335234374997</v>
      </c>
      <c r="BM60" s="157">
        <f t="shared" si="28"/>
        <v>0</v>
      </c>
      <c r="BN60" s="157">
        <f t="shared" si="28"/>
        <v>27.53371536666666</v>
      </c>
      <c r="BO60" s="157">
        <f t="shared" si="28"/>
        <v>0</v>
      </c>
      <c r="BP60" s="157"/>
      <c r="BQ60" s="157"/>
      <c r="BR60" s="157"/>
      <c r="BS60" s="157">
        <f>BF60*BS$6</f>
        <v>652.5649907142856</v>
      </c>
      <c r="BT60" s="157" t="e">
        <f t="shared" si="29"/>
        <v>#DIV/0!</v>
      </c>
      <c r="BU60" s="157" t="e">
        <f t="shared" si="29"/>
        <v>#DIV/0!</v>
      </c>
      <c r="BV60" s="158" t="e">
        <f>SUM(BL60:BU60)</f>
        <v>#DIV/0!</v>
      </c>
      <c r="BW60" s="4" t="e">
        <f t="shared" si="14"/>
        <v>#DIV/0!</v>
      </c>
      <c r="BX60" s="4" t="s">
        <v>110</v>
      </c>
      <c r="BY60" s="4">
        <v>1.9640718629944691</v>
      </c>
      <c r="BZ60" t="s">
        <v>110</v>
      </c>
    </row>
    <row r="61" spans="1:78" ht="12.75">
      <c r="A61" s="64" t="s">
        <v>46</v>
      </c>
      <c r="B61" s="65"/>
      <c r="C61" s="65"/>
      <c r="D61" s="65">
        <f>PMemission!D61*(D119)</f>
        <v>0.82</v>
      </c>
      <c r="E61" s="65"/>
      <c r="F61" s="65"/>
      <c r="G61" s="65"/>
      <c r="H61" s="65"/>
      <c r="I61" s="65"/>
      <c r="J61" s="65"/>
      <c r="K61" s="121"/>
      <c r="L61" s="71"/>
      <c r="M61" s="33"/>
      <c r="N61" s="65"/>
      <c r="O61" s="65"/>
      <c r="P61" s="65">
        <f>PMemission!P61*(P119)</f>
        <v>13.325</v>
      </c>
      <c r="Q61" s="65"/>
      <c r="R61" s="65"/>
      <c r="S61" s="65"/>
      <c r="T61" s="65"/>
      <c r="U61" s="65"/>
      <c r="V61" s="65"/>
      <c r="W61" s="121"/>
      <c r="X61" s="71"/>
      <c r="Y61" s="33"/>
      <c r="Z61" s="69"/>
      <c r="AA61" s="69"/>
      <c r="AB61" s="69"/>
      <c r="AC61" s="69"/>
      <c r="AD61" s="69"/>
      <c r="AE61" s="69"/>
      <c r="AF61" s="69"/>
      <c r="AG61" s="69"/>
      <c r="AH61" s="69"/>
      <c r="AI61" s="69"/>
      <c r="AJ61" s="69"/>
      <c r="AK61" s="33"/>
      <c r="AL61" s="3" t="s">
        <v>46</v>
      </c>
      <c r="AM61" s="30">
        <f>Mtoe!O61</f>
        <v>1</v>
      </c>
      <c r="AN61" s="30">
        <f>Mtoe!P61</f>
        <v>1</v>
      </c>
      <c r="AO61" s="30">
        <f>Mtoe!Q61</f>
        <v>1</v>
      </c>
      <c r="AP61" s="30">
        <f>Mtoe!R61</f>
        <v>1</v>
      </c>
      <c r="AQ61" s="30">
        <f>Mtoe!S61</f>
        <v>1</v>
      </c>
      <c r="AR61" s="30">
        <f>Mtoe!T61</f>
        <v>1</v>
      </c>
      <c r="AS61" s="30">
        <f>Mtoe!U61</f>
        <v>1</v>
      </c>
      <c r="AT61" s="30">
        <f>Mtoe!V61</f>
        <v>1</v>
      </c>
      <c r="AU61" s="30">
        <f>Mtoe!W61</f>
        <v>1</v>
      </c>
      <c r="AV61" s="30">
        <f>Mtoe!X61</f>
        <v>1</v>
      </c>
      <c r="AW61" s="36"/>
      <c r="AX61" s="3" t="s">
        <v>46</v>
      </c>
      <c r="AY61" s="209"/>
      <c r="AZ61" s="209"/>
      <c r="BA61" s="209">
        <f>AO61*D61</f>
        <v>0.82</v>
      </c>
      <c r="BB61" s="209"/>
      <c r="BC61" s="209"/>
      <c r="BD61" s="209"/>
      <c r="BE61" s="209"/>
      <c r="BF61" s="209"/>
      <c r="BG61" s="209">
        <f>AU61*J61</f>
        <v>0</v>
      </c>
      <c r="BH61" s="209"/>
      <c r="BI61" s="215">
        <f t="shared" si="6"/>
        <v>0.82</v>
      </c>
      <c r="BJ61" s="33"/>
      <c r="BK61" s="110" t="s">
        <v>46</v>
      </c>
      <c r="BL61" s="157"/>
      <c r="BM61" s="157">
        <f t="shared" si="28"/>
        <v>0</v>
      </c>
      <c r="BN61" s="157">
        <f t="shared" si="28"/>
        <v>2.5641153999999995</v>
      </c>
      <c r="BO61" s="157">
        <f t="shared" si="28"/>
        <v>0</v>
      </c>
      <c r="BP61" s="157"/>
      <c r="BQ61" s="157"/>
      <c r="BR61" s="157"/>
      <c r="BS61" s="157">
        <f>BF61*BS$6</f>
        <v>0</v>
      </c>
      <c r="BT61" s="157" t="e">
        <f t="shared" si="29"/>
        <v>#DIV/0!</v>
      </c>
      <c r="BU61" s="157" t="e">
        <f t="shared" si="29"/>
        <v>#DIV/0!</v>
      </c>
      <c r="BV61" s="158" t="e">
        <f>SUM(BL61:BU61)</f>
        <v>#DIV/0!</v>
      </c>
      <c r="BW61" s="4" t="e">
        <f t="shared" si="14"/>
        <v>#DIV/0!</v>
      </c>
      <c r="BX61" s="4" t="s">
        <v>110</v>
      </c>
      <c r="BY61" s="4">
        <v>0.11789341752556547</v>
      </c>
      <c r="BZ61" t="s">
        <v>110</v>
      </c>
    </row>
    <row r="62" spans="1:78" ht="13.5" thickBot="1">
      <c r="A62" s="73" t="s">
        <v>35</v>
      </c>
      <c r="B62" s="253"/>
      <c r="C62" s="74"/>
      <c r="D62" s="74"/>
      <c r="E62" s="74"/>
      <c r="F62" s="74"/>
      <c r="G62" s="74"/>
      <c r="H62" s="74"/>
      <c r="I62" s="74"/>
      <c r="J62" s="74"/>
      <c r="K62" s="123"/>
      <c r="L62" s="96"/>
      <c r="M62" s="33"/>
      <c r="N62" s="253"/>
      <c r="O62" s="74"/>
      <c r="P62" s="74"/>
      <c r="Q62" s="74"/>
      <c r="R62" s="74"/>
      <c r="S62" s="74"/>
      <c r="T62" s="74"/>
      <c r="U62" s="74"/>
      <c r="V62" s="74"/>
      <c r="W62" s="123"/>
      <c r="X62" s="96"/>
      <c r="Y62" s="33"/>
      <c r="Z62" s="378"/>
      <c r="AA62" s="378"/>
      <c r="AB62" s="378"/>
      <c r="AC62" s="378"/>
      <c r="AD62" s="378"/>
      <c r="AE62" s="378"/>
      <c r="AF62" s="378"/>
      <c r="AG62" s="378"/>
      <c r="AH62" s="378"/>
      <c r="AI62" s="378"/>
      <c r="AJ62" s="378"/>
      <c r="AK62" s="33"/>
      <c r="AL62" s="6" t="s">
        <v>35</v>
      </c>
      <c r="AM62" s="30">
        <f>Mtoe!O62</f>
        <v>1</v>
      </c>
      <c r="AN62" s="30">
        <f>Mtoe!P62</f>
        <v>1</v>
      </c>
      <c r="AO62" s="30">
        <f>Mtoe!Q62</f>
        <v>1</v>
      </c>
      <c r="AP62" s="30">
        <f>Mtoe!R62</f>
        <v>1</v>
      </c>
      <c r="AQ62" s="30">
        <f>Mtoe!S62</f>
        <v>1</v>
      </c>
      <c r="AR62" s="30">
        <f>Mtoe!T62</f>
        <v>1</v>
      </c>
      <c r="AS62" s="30">
        <f>Mtoe!U62</f>
        <v>1</v>
      </c>
      <c r="AT62" s="30">
        <f>Mtoe!V62</f>
        <v>1</v>
      </c>
      <c r="AU62" s="30">
        <f>Mtoe!W62</f>
        <v>1</v>
      </c>
      <c r="AV62" s="30">
        <f>Mtoe!X62</f>
        <v>1</v>
      </c>
      <c r="AW62" s="41"/>
      <c r="AX62" s="6" t="s">
        <v>35</v>
      </c>
      <c r="AY62" s="219">
        <f>AM62*B62</f>
        <v>0</v>
      </c>
      <c r="AZ62" s="219"/>
      <c r="BA62" s="219">
        <f>AO62*D62</f>
        <v>0</v>
      </c>
      <c r="BB62" s="219">
        <f>AP62*E62</f>
        <v>0</v>
      </c>
      <c r="BC62" s="219"/>
      <c r="BD62" s="219"/>
      <c r="BE62" s="219"/>
      <c r="BF62" s="219">
        <f>AT62*I62</f>
        <v>0</v>
      </c>
      <c r="BG62" s="219">
        <f>AU62*J62</f>
        <v>0</v>
      </c>
      <c r="BH62" s="219">
        <f>AV62*K62</f>
        <v>0</v>
      </c>
      <c r="BI62" s="220">
        <f t="shared" si="6"/>
        <v>0</v>
      </c>
      <c r="BJ62" s="33"/>
      <c r="BK62" s="111" t="s">
        <v>35</v>
      </c>
      <c r="BL62" s="161">
        <f t="shared" si="28"/>
        <v>0</v>
      </c>
      <c r="BM62" s="162">
        <f t="shared" si="28"/>
        <v>0</v>
      </c>
      <c r="BN62" s="162">
        <f t="shared" si="28"/>
        <v>0</v>
      </c>
      <c r="BO62" s="162">
        <f t="shared" si="28"/>
        <v>0</v>
      </c>
      <c r="BP62" s="162"/>
      <c r="BQ62" s="162"/>
      <c r="BR62" s="162"/>
      <c r="BS62" s="162">
        <f>BF62*BS$6</f>
        <v>0</v>
      </c>
      <c r="BT62" s="162" t="e">
        <f t="shared" si="29"/>
        <v>#DIV/0!</v>
      </c>
      <c r="BU62" s="162" t="e">
        <f t="shared" si="29"/>
        <v>#DIV/0!</v>
      </c>
      <c r="BV62" s="163" t="e">
        <f>SUM(BL62:BU62)</f>
        <v>#DIV/0!</v>
      </c>
      <c r="BW62" s="195" t="e">
        <f t="shared" si="14"/>
        <v>#DIV/0!</v>
      </c>
      <c r="BX62" s="193" t="s">
        <v>110</v>
      </c>
      <c r="BY62" s="193">
        <v>2.14479064652733</v>
      </c>
      <c r="BZ62" s="182" t="s">
        <v>110</v>
      </c>
    </row>
    <row r="63" spans="1:78" ht="12.75">
      <c r="A63" s="71" t="s">
        <v>47</v>
      </c>
      <c r="B63" s="72"/>
      <c r="C63" s="72"/>
      <c r="D63" s="72"/>
      <c r="E63" s="72"/>
      <c r="F63" s="72"/>
      <c r="G63" s="72"/>
      <c r="H63" s="72"/>
      <c r="I63" s="72"/>
      <c r="J63" s="72"/>
      <c r="K63" s="72"/>
      <c r="L63" s="71"/>
      <c r="M63" s="33"/>
      <c r="N63" s="72"/>
      <c r="O63" s="72"/>
      <c r="P63" s="72"/>
      <c r="Q63" s="72"/>
      <c r="R63" s="72"/>
      <c r="S63" s="72"/>
      <c r="T63" s="72"/>
      <c r="U63" s="72"/>
      <c r="V63" s="72"/>
      <c r="W63" s="72"/>
      <c r="X63" s="71"/>
      <c r="Y63" s="33"/>
      <c r="Z63" s="69"/>
      <c r="AA63" s="69"/>
      <c r="AB63" s="69"/>
      <c r="AC63" s="69"/>
      <c r="AD63" s="69"/>
      <c r="AE63" s="69"/>
      <c r="AF63" s="69"/>
      <c r="AG63" s="69"/>
      <c r="AH63" s="69"/>
      <c r="AI63" s="69"/>
      <c r="AJ63" s="69"/>
      <c r="AK63" s="33"/>
      <c r="AL63" s="5" t="s">
        <v>47</v>
      </c>
      <c r="AM63" s="22"/>
      <c r="AN63" s="22"/>
      <c r="AO63" s="22"/>
      <c r="AP63" s="22"/>
      <c r="AQ63" s="22"/>
      <c r="AR63" s="22"/>
      <c r="AS63" s="22"/>
      <c r="AT63" s="22"/>
      <c r="AU63" s="22"/>
      <c r="AV63" s="22"/>
      <c r="AW63" s="40"/>
      <c r="AX63" s="5" t="s">
        <v>47</v>
      </c>
      <c r="AY63" s="207">
        <f>AY64+AY66+AY67</f>
        <v>0</v>
      </c>
      <c r="AZ63" s="207">
        <f>AZ64+AZ66+AZ67</f>
        <v>0</v>
      </c>
      <c r="BA63" s="207">
        <f aca="true" t="shared" si="30" ref="BA63:BI63">BA64+BA66+BA67</f>
        <v>0</v>
      </c>
      <c r="BB63" s="207">
        <f t="shared" si="30"/>
        <v>0</v>
      </c>
      <c r="BC63" s="207">
        <f t="shared" si="30"/>
        <v>0</v>
      </c>
      <c r="BD63" s="207">
        <f t="shared" si="30"/>
        <v>0</v>
      </c>
      <c r="BE63" s="207">
        <f t="shared" si="30"/>
        <v>0</v>
      </c>
      <c r="BF63" s="207">
        <f t="shared" si="30"/>
        <v>0</v>
      </c>
      <c r="BG63" s="207">
        <f t="shared" si="30"/>
        <v>0</v>
      </c>
      <c r="BH63" s="207">
        <f t="shared" si="30"/>
        <v>0</v>
      </c>
      <c r="BI63" s="215">
        <f t="shared" si="30"/>
        <v>0</v>
      </c>
      <c r="BJ63" s="33"/>
      <c r="BK63" s="112" t="s">
        <v>47</v>
      </c>
      <c r="BL63" s="164">
        <f aca="true" t="shared" si="31" ref="BL63:BU63">BL64+BL66+BL67</f>
        <v>0</v>
      </c>
      <c r="BM63" s="164">
        <f t="shared" si="31"/>
        <v>0</v>
      </c>
      <c r="BN63" s="164">
        <f t="shared" si="31"/>
        <v>0</v>
      </c>
      <c r="BO63" s="164">
        <f t="shared" si="31"/>
        <v>0</v>
      </c>
      <c r="BP63" s="164">
        <f t="shared" si="31"/>
        <v>0</v>
      </c>
      <c r="BQ63" s="164">
        <f t="shared" si="31"/>
        <v>0</v>
      </c>
      <c r="BR63" s="164">
        <f t="shared" si="31"/>
        <v>0</v>
      </c>
      <c r="BS63" s="164">
        <f t="shared" si="31"/>
        <v>0</v>
      </c>
      <c r="BT63" s="164" t="e">
        <f t="shared" si="31"/>
        <v>#DIV/0!</v>
      </c>
      <c r="BU63" s="164" t="e">
        <f t="shared" si="31"/>
        <v>#DIV/0!</v>
      </c>
      <c r="BV63" s="158" t="e">
        <f>BV64+BV66+BV67</f>
        <v>#DIV/0!</v>
      </c>
      <c r="BW63" s="15" t="e">
        <f t="shared" si="14"/>
        <v>#DIV/0!</v>
      </c>
      <c r="BX63" s="4" t="s">
        <v>110</v>
      </c>
      <c r="BY63" s="4">
        <v>7.803064138939511</v>
      </c>
      <c r="BZ63" t="s">
        <v>110</v>
      </c>
    </row>
    <row r="64" spans="1:78" ht="12.75">
      <c r="A64" s="64" t="s">
        <v>48</v>
      </c>
      <c r="B64" s="65"/>
      <c r="C64" s="65"/>
      <c r="D64" s="65"/>
      <c r="E64" s="65"/>
      <c r="F64" s="65"/>
      <c r="G64" s="65"/>
      <c r="H64" s="65"/>
      <c r="I64" s="65"/>
      <c r="J64" s="65"/>
      <c r="K64" s="65"/>
      <c r="L64" s="71"/>
      <c r="M64" s="33"/>
      <c r="N64" s="65"/>
      <c r="O64" s="65"/>
      <c r="P64" s="65"/>
      <c r="Q64" s="65"/>
      <c r="R64" s="65"/>
      <c r="S64" s="65"/>
      <c r="T64" s="65"/>
      <c r="U64" s="65"/>
      <c r="V64" s="65"/>
      <c r="W64" s="65"/>
      <c r="X64" s="71"/>
      <c r="Y64" s="33"/>
      <c r="Z64" s="69"/>
      <c r="AA64" s="69"/>
      <c r="AB64" s="69"/>
      <c r="AC64" s="69"/>
      <c r="AD64" s="69"/>
      <c r="AE64" s="69"/>
      <c r="AF64" s="69"/>
      <c r="AG64" s="69"/>
      <c r="AH64" s="69"/>
      <c r="AI64" s="69"/>
      <c r="AJ64" s="69"/>
      <c r="AK64" s="33"/>
      <c r="AL64" s="3" t="s">
        <v>48</v>
      </c>
      <c r="AM64" s="30">
        <f>Mtoe!O64</f>
        <v>1</v>
      </c>
      <c r="AN64" s="30">
        <f>Mtoe!P64</f>
        <v>1</v>
      </c>
      <c r="AO64" s="30">
        <f>Mtoe!Q64</f>
        <v>1</v>
      </c>
      <c r="AP64" s="30">
        <f>Mtoe!R64</f>
        <v>1</v>
      </c>
      <c r="AQ64" s="30">
        <f>Mtoe!S64</f>
        <v>1</v>
      </c>
      <c r="AR64" s="30">
        <f>Mtoe!T64</f>
        <v>1</v>
      </c>
      <c r="AS64" s="30">
        <f>Mtoe!U64</f>
        <v>1</v>
      </c>
      <c r="AT64" s="30">
        <f>Mtoe!V64</f>
        <v>1</v>
      </c>
      <c r="AU64" s="30">
        <f>Mtoe!W64</f>
        <v>1</v>
      </c>
      <c r="AV64" s="30">
        <f>Mtoe!X64</f>
        <v>1</v>
      </c>
      <c r="AW64" s="36"/>
      <c r="AX64" s="3" t="s">
        <v>48</v>
      </c>
      <c r="AY64" s="209">
        <f>AM64*B64</f>
        <v>0</v>
      </c>
      <c r="AZ64" s="209">
        <f>AN64*C64</f>
        <v>0</v>
      </c>
      <c r="BA64" s="209">
        <f>AO64*D64</f>
        <v>0</v>
      </c>
      <c r="BB64" s="209">
        <f>AP64*E64</f>
        <v>0</v>
      </c>
      <c r="BC64" s="209"/>
      <c r="BD64" s="209"/>
      <c r="BE64" s="209"/>
      <c r="BF64" s="209"/>
      <c r="BG64" s="209"/>
      <c r="BH64" s="209"/>
      <c r="BI64" s="215">
        <f t="shared" si="6"/>
        <v>0</v>
      </c>
      <c r="BJ64" s="33"/>
      <c r="BK64" s="110" t="s">
        <v>48</v>
      </c>
      <c r="BL64" s="157">
        <f aca="true" t="shared" si="32" ref="BL64:BS67">AY64*BL$6</f>
        <v>0</v>
      </c>
      <c r="BM64" s="157">
        <f t="shared" si="32"/>
        <v>0</v>
      </c>
      <c r="BN64" s="157">
        <f t="shared" si="32"/>
        <v>0</v>
      </c>
      <c r="BO64" s="157">
        <f t="shared" si="32"/>
        <v>0</v>
      </c>
      <c r="BP64" s="157"/>
      <c r="BQ64" s="157"/>
      <c r="BR64" s="157"/>
      <c r="BS64" s="157">
        <f>BF64*BS$6</f>
        <v>0</v>
      </c>
      <c r="BT64" s="157" t="e">
        <f aca="true" t="shared" si="33" ref="BT64:BU67">BT$32*BG64/BG$32</f>
        <v>#DIV/0!</v>
      </c>
      <c r="BU64" s="157" t="e">
        <f t="shared" si="33"/>
        <v>#DIV/0!</v>
      </c>
      <c r="BV64" s="158" t="e">
        <f>SUM(BL64:BU64)</f>
        <v>#DIV/0!</v>
      </c>
      <c r="BW64" s="4" t="e">
        <f t="shared" si="14"/>
        <v>#DIV/0!</v>
      </c>
      <c r="BX64" s="4" t="s">
        <v>110</v>
      </c>
      <c r="BY64" s="4">
        <v>7.518435865413295</v>
      </c>
      <c r="BZ64" t="s">
        <v>110</v>
      </c>
    </row>
    <row r="65" spans="1:79" ht="12.75">
      <c r="A65" s="77" t="s">
        <v>49</v>
      </c>
      <c r="B65" s="65"/>
      <c r="C65" s="65"/>
      <c r="D65" s="65"/>
      <c r="E65" s="78"/>
      <c r="F65" s="78"/>
      <c r="G65" s="78"/>
      <c r="H65" s="78"/>
      <c r="I65" s="65"/>
      <c r="J65" s="78"/>
      <c r="K65" s="78"/>
      <c r="L65" s="97"/>
      <c r="M65" s="50"/>
      <c r="N65" s="65"/>
      <c r="O65" s="65"/>
      <c r="P65" s="65"/>
      <c r="Q65" s="78"/>
      <c r="R65" s="78"/>
      <c r="S65" s="78"/>
      <c r="T65" s="78"/>
      <c r="U65" s="65"/>
      <c r="V65" s="78"/>
      <c r="W65" s="78"/>
      <c r="X65" s="97"/>
      <c r="Y65" s="50"/>
      <c r="Z65" s="372"/>
      <c r="AA65" s="372"/>
      <c r="AB65" s="372"/>
      <c r="AC65" s="372"/>
      <c r="AD65" s="372"/>
      <c r="AE65" s="372"/>
      <c r="AF65" s="372"/>
      <c r="AG65" s="372"/>
      <c r="AH65" s="372"/>
      <c r="AI65" s="372"/>
      <c r="AJ65" s="372"/>
      <c r="AK65" s="50"/>
      <c r="AL65" s="7" t="s">
        <v>49</v>
      </c>
      <c r="AM65" s="30">
        <f>Mtoe!O65</f>
        <v>1</v>
      </c>
      <c r="AN65" s="30">
        <f>Mtoe!P65</f>
        <v>1</v>
      </c>
      <c r="AO65" s="30">
        <f>Mtoe!Q65</f>
        <v>1</v>
      </c>
      <c r="AP65" s="30">
        <f>Mtoe!R65</f>
        <v>1</v>
      </c>
      <c r="AQ65" s="30">
        <f>Mtoe!S65</f>
        <v>1</v>
      </c>
      <c r="AR65" s="30">
        <f>Mtoe!T65</f>
        <v>1</v>
      </c>
      <c r="AS65" s="30">
        <f>Mtoe!U65</f>
        <v>1</v>
      </c>
      <c r="AT65" s="30">
        <f>Mtoe!V65</f>
        <v>1</v>
      </c>
      <c r="AU65" s="30">
        <f>Mtoe!W65</f>
        <v>1</v>
      </c>
      <c r="AV65" s="30">
        <f>Mtoe!X65</f>
        <v>1</v>
      </c>
      <c r="AW65" s="42"/>
      <c r="AX65" s="7" t="s">
        <v>49</v>
      </c>
      <c r="AY65" s="209">
        <f>AM65*B65</f>
        <v>0</v>
      </c>
      <c r="AZ65" s="209">
        <f>AN65*C65</f>
        <v>0</v>
      </c>
      <c r="BA65" s="209">
        <f>AO65*D65</f>
        <v>0</v>
      </c>
      <c r="BB65" s="209">
        <f>AP65*E65</f>
        <v>0</v>
      </c>
      <c r="BC65" s="221"/>
      <c r="BD65" s="221"/>
      <c r="BE65" s="221"/>
      <c r="BF65" s="221"/>
      <c r="BG65" s="221"/>
      <c r="BH65" s="221"/>
      <c r="BI65" s="222">
        <f t="shared" si="6"/>
        <v>0</v>
      </c>
      <c r="BJ65" s="50"/>
      <c r="BK65" s="113" t="s">
        <v>49</v>
      </c>
      <c r="BL65" s="165">
        <f t="shared" si="32"/>
        <v>0</v>
      </c>
      <c r="BM65" s="165">
        <f t="shared" si="32"/>
        <v>0</v>
      </c>
      <c r="BN65" s="165">
        <f t="shared" si="32"/>
        <v>0</v>
      </c>
      <c r="BO65" s="165">
        <f t="shared" si="32"/>
        <v>0</v>
      </c>
      <c r="BP65" s="165"/>
      <c r="BQ65" s="165"/>
      <c r="BR65" s="165"/>
      <c r="BS65" s="165">
        <f t="shared" si="32"/>
        <v>0</v>
      </c>
      <c r="BT65" s="165" t="e">
        <f t="shared" si="33"/>
        <v>#DIV/0!</v>
      </c>
      <c r="BU65" s="165" t="e">
        <f t="shared" si="33"/>
        <v>#DIV/0!</v>
      </c>
      <c r="BV65" s="166" t="e">
        <f>SUM(BL65:BU65)</f>
        <v>#DIV/0!</v>
      </c>
      <c r="BW65" s="4"/>
      <c r="BX65" s="4"/>
      <c r="BY65" s="196"/>
      <c r="BZ65" s="17"/>
      <c r="CA65" s="17"/>
    </row>
    <row r="66" spans="1:78" ht="12.75">
      <c r="A66" s="64" t="s">
        <v>50</v>
      </c>
      <c r="B66" s="65"/>
      <c r="C66" s="65"/>
      <c r="D66" s="65"/>
      <c r="E66" s="65"/>
      <c r="F66" s="65"/>
      <c r="G66" s="65"/>
      <c r="H66" s="65"/>
      <c r="I66" s="65"/>
      <c r="J66" s="65"/>
      <c r="K66" s="65"/>
      <c r="L66" s="71"/>
      <c r="M66" s="33"/>
      <c r="N66" s="65"/>
      <c r="O66" s="65"/>
      <c r="P66" s="65"/>
      <c r="Q66" s="65"/>
      <c r="R66" s="65"/>
      <c r="S66" s="65"/>
      <c r="T66" s="65"/>
      <c r="U66" s="65"/>
      <c r="V66" s="65"/>
      <c r="W66" s="65"/>
      <c r="X66" s="71"/>
      <c r="Y66" s="33"/>
      <c r="Z66" s="69"/>
      <c r="AA66" s="69"/>
      <c r="AB66" s="69"/>
      <c r="AC66" s="69"/>
      <c r="AD66" s="69"/>
      <c r="AE66" s="69"/>
      <c r="AF66" s="69"/>
      <c r="AG66" s="69"/>
      <c r="AH66" s="69"/>
      <c r="AI66" s="69"/>
      <c r="AJ66" s="69"/>
      <c r="AK66" s="33"/>
      <c r="AL66" s="3" t="s">
        <v>50</v>
      </c>
      <c r="AM66" s="30">
        <f>Mtoe!O66</f>
        <v>1</v>
      </c>
      <c r="AN66" s="30">
        <f>Mtoe!P66</f>
        <v>1</v>
      </c>
      <c r="AO66" s="30">
        <f>Mtoe!Q66</f>
        <v>1</v>
      </c>
      <c r="AP66" s="30">
        <f>Mtoe!R66</f>
        <v>1</v>
      </c>
      <c r="AQ66" s="30">
        <f>Mtoe!S66</f>
        <v>1</v>
      </c>
      <c r="AR66" s="30">
        <f>Mtoe!T66</f>
        <v>1</v>
      </c>
      <c r="AS66" s="30">
        <f>Mtoe!U66</f>
        <v>1</v>
      </c>
      <c r="AT66" s="30">
        <f>Mtoe!V66</f>
        <v>1</v>
      </c>
      <c r="AU66" s="30">
        <f>Mtoe!W66</f>
        <v>1</v>
      </c>
      <c r="AV66" s="30">
        <f>Mtoe!X66</f>
        <v>1</v>
      </c>
      <c r="AW66" s="36"/>
      <c r="AX66" s="3" t="s">
        <v>50</v>
      </c>
      <c r="AY66" s="209"/>
      <c r="AZ66" s="209"/>
      <c r="BA66" s="209">
        <f>AO66*D66</f>
        <v>0</v>
      </c>
      <c r="BB66" s="209"/>
      <c r="BC66" s="209"/>
      <c r="BD66" s="209"/>
      <c r="BE66" s="209"/>
      <c r="BF66" s="209"/>
      <c r="BG66" s="209"/>
      <c r="BH66" s="209"/>
      <c r="BI66" s="215">
        <f t="shared" si="6"/>
        <v>0</v>
      </c>
      <c r="BJ66" s="33"/>
      <c r="BK66" s="110" t="s">
        <v>50</v>
      </c>
      <c r="BL66" s="157"/>
      <c r="BM66" s="157">
        <f t="shared" si="32"/>
        <v>0</v>
      </c>
      <c r="BN66" s="157">
        <f t="shared" si="32"/>
        <v>0</v>
      </c>
      <c r="BO66" s="157">
        <f t="shared" si="32"/>
        <v>0</v>
      </c>
      <c r="BP66" s="157"/>
      <c r="BQ66" s="157"/>
      <c r="BR66" s="157"/>
      <c r="BS66" s="157">
        <f t="shared" si="32"/>
        <v>0</v>
      </c>
      <c r="BT66" s="157" t="e">
        <f t="shared" si="33"/>
        <v>#DIV/0!</v>
      </c>
      <c r="BU66" s="157" t="e">
        <f t="shared" si="33"/>
        <v>#DIV/0!</v>
      </c>
      <c r="BV66" s="158" t="e">
        <f>SUM(BL66:BU66)</f>
        <v>#DIV/0!</v>
      </c>
      <c r="BW66" s="197" t="e">
        <f t="shared" si="14"/>
        <v>#DIV/0!</v>
      </c>
      <c r="BX66" s="191" t="s">
        <v>110</v>
      </c>
      <c r="BY66" s="191">
        <v>0.229072158042962</v>
      </c>
      <c r="BZ66" s="124" t="s">
        <v>110</v>
      </c>
    </row>
    <row r="67" spans="1:78" ht="13.5" thickBot="1">
      <c r="A67" s="79" t="s">
        <v>51</v>
      </c>
      <c r="B67" s="65"/>
      <c r="C67" s="65"/>
      <c r="D67" s="65"/>
      <c r="E67" s="65"/>
      <c r="F67" s="65"/>
      <c r="G67" s="65"/>
      <c r="H67" s="65"/>
      <c r="I67" s="65"/>
      <c r="J67" s="65"/>
      <c r="K67" s="65"/>
      <c r="L67" s="71"/>
      <c r="M67" s="33"/>
      <c r="N67" s="65"/>
      <c r="O67" s="65"/>
      <c r="P67" s="65"/>
      <c r="Q67" s="65"/>
      <c r="R67" s="65"/>
      <c r="S67" s="65"/>
      <c r="T67" s="65"/>
      <c r="U67" s="65"/>
      <c r="V67" s="65"/>
      <c r="W67" s="65"/>
      <c r="X67" s="71"/>
      <c r="Y67" s="33"/>
      <c r="Z67" s="69"/>
      <c r="AA67" s="69"/>
      <c r="AB67" s="69"/>
      <c r="AC67" s="69"/>
      <c r="AD67" s="69"/>
      <c r="AE67" s="69"/>
      <c r="AF67" s="69"/>
      <c r="AG67" s="69"/>
      <c r="AH67" s="69"/>
      <c r="AI67" s="69"/>
      <c r="AJ67" s="69"/>
      <c r="AK67" s="33"/>
      <c r="AL67" s="8" t="s">
        <v>51</v>
      </c>
      <c r="AM67" s="30">
        <f>Mtoe!O67</f>
        <v>1</v>
      </c>
      <c r="AN67" s="30">
        <f>Mtoe!P67</f>
        <v>1</v>
      </c>
      <c r="AO67" s="30">
        <f>Mtoe!Q67</f>
        <v>1</v>
      </c>
      <c r="AP67" s="30">
        <f>Mtoe!R67</f>
        <v>1</v>
      </c>
      <c r="AQ67" s="30">
        <f>Mtoe!S67</f>
        <v>1</v>
      </c>
      <c r="AR67" s="30">
        <f>Mtoe!T67</f>
        <v>1</v>
      </c>
      <c r="AS67" s="30">
        <f>Mtoe!U67</f>
        <v>1</v>
      </c>
      <c r="AT67" s="30">
        <f>Mtoe!V67</f>
        <v>1</v>
      </c>
      <c r="AU67" s="30">
        <f>Mtoe!W67</f>
        <v>1</v>
      </c>
      <c r="AV67" s="30">
        <f>Mtoe!X67</f>
        <v>1</v>
      </c>
      <c r="AW67" s="43"/>
      <c r="AX67" s="8" t="s">
        <v>51</v>
      </c>
      <c r="AY67" s="209">
        <f>AM67*B67</f>
        <v>0</v>
      </c>
      <c r="AZ67" s="209"/>
      <c r="BA67" s="209">
        <f>AO67*D67</f>
        <v>0</v>
      </c>
      <c r="BB67" s="209"/>
      <c r="BC67" s="209"/>
      <c r="BD67" s="209"/>
      <c r="BE67" s="209"/>
      <c r="BF67" s="209"/>
      <c r="BG67" s="209"/>
      <c r="BH67" s="209"/>
      <c r="BI67" s="223">
        <f t="shared" si="6"/>
        <v>0</v>
      </c>
      <c r="BJ67" s="33"/>
      <c r="BK67" s="114" t="s">
        <v>51</v>
      </c>
      <c r="BL67" s="167">
        <f t="shared" si="32"/>
        <v>0</v>
      </c>
      <c r="BM67" s="168">
        <f t="shared" si="32"/>
        <v>0</v>
      </c>
      <c r="BN67" s="168">
        <f t="shared" si="32"/>
        <v>0</v>
      </c>
      <c r="BO67" s="168">
        <f t="shared" si="32"/>
        <v>0</v>
      </c>
      <c r="BP67" s="168"/>
      <c r="BQ67" s="168"/>
      <c r="BR67" s="168"/>
      <c r="BS67" s="168">
        <f t="shared" si="32"/>
        <v>0</v>
      </c>
      <c r="BT67" s="168" t="e">
        <f t="shared" si="33"/>
        <v>#DIV/0!</v>
      </c>
      <c r="BU67" s="168" t="e">
        <f t="shared" si="33"/>
        <v>#DIV/0!</v>
      </c>
      <c r="BV67" s="169" t="e">
        <f>SUM(BL67:BU67)</f>
        <v>#DIV/0!</v>
      </c>
      <c r="BW67" s="198" t="e">
        <f t="shared" si="14"/>
        <v>#DIV/0!</v>
      </c>
      <c r="BX67" s="199" t="s">
        <v>110</v>
      </c>
      <c r="BY67" s="193">
        <v>0.0555561154832543</v>
      </c>
      <c r="BZ67" s="182" t="s">
        <v>110</v>
      </c>
    </row>
    <row r="68" spans="1:78" ht="15.75">
      <c r="A68" s="231" t="s">
        <v>52</v>
      </c>
      <c r="B68" s="232"/>
      <c r="C68" s="232"/>
      <c r="D68" s="232"/>
      <c r="E68" s="232"/>
      <c r="F68" s="232"/>
      <c r="G68" s="232"/>
      <c r="H68" s="232"/>
      <c r="I68" s="232"/>
      <c r="J68" s="232"/>
      <c r="K68" s="232"/>
      <c r="L68" s="233"/>
      <c r="M68" s="33"/>
      <c r="N68" s="379"/>
      <c r="O68" s="380"/>
      <c r="P68" s="380"/>
      <c r="Q68" s="380"/>
      <c r="R68" s="380"/>
      <c r="S68" s="380"/>
      <c r="T68" s="380"/>
      <c r="U68" s="380"/>
      <c r="V68" s="380"/>
      <c r="W68" s="380"/>
      <c r="X68" s="381"/>
      <c r="Y68" s="33"/>
      <c r="Z68" s="379"/>
      <c r="AA68" s="380"/>
      <c r="AB68" s="380"/>
      <c r="AC68" s="380"/>
      <c r="AD68" s="380"/>
      <c r="AE68" s="380"/>
      <c r="AF68" s="380"/>
      <c r="AG68" s="380"/>
      <c r="AH68" s="380"/>
      <c r="AI68" s="380"/>
      <c r="AJ68" s="381"/>
      <c r="AK68" s="33"/>
      <c r="AL68" s="354"/>
      <c r="AM68" s="354"/>
      <c r="AN68" s="354"/>
      <c r="AO68" s="354"/>
      <c r="AP68" s="354"/>
      <c r="AQ68" s="354"/>
      <c r="AR68" s="354"/>
      <c r="AS68" s="354"/>
      <c r="AT68" s="354"/>
      <c r="AU68" s="354"/>
      <c r="AV68" s="354"/>
      <c r="AW68" s="49"/>
      <c r="AX68" s="349" t="s">
        <v>52</v>
      </c>
      <c r="AY68" s="350"/>
      <c r="AZ68" s="350"/>
      <c r="BA68" s="350"/>
      <c r="BB68" s="350"/>
      <c r="BC68" s="350"/>
      <c r="BD68" s="350"/>
      <c r="BE68" s="350"/>
      <c r="BF68" s="350"/>
      <c r="BG68" s="350"/>
      <c r="BH68" s="350"/>
      <c r="BI68" s="351"/>
      <c r="BJ68" s="33"/>
      <c r="BW68" s="200" t="e">
        <f>SUM(BW20:BW67)-(BW22+BW23+BW24+BW34+BW48+BW57+BW63)</f>
        <v>#DIV/0!</v>
      </c>
      <c r="BX68" s="200" t="s">
        <v>110</v>
      </c>
      <c r="BY68" s="4">
        <v>100</v>
      </c>
      <c r="BZ68" t="s">
        <v>110</v>
      </c>
    </row>
    <row r="69" spans="1:62" ht="12.75">
      <c r="A69" s="80" t="s">
        <v>53</v>
      </c>
      <c r="B69" s="75"/>
      <c r="C69" s="75"/>
      <c r="D69" s="75"/>
      <c r="E69" s="75"/>
      <c r="F69" s="75"/>
      <c r="G69" s="75"/>
      <c r="H69" s="75"/>
      <c r="I69" s="75"/>
      <c r="J69" s="75"/>
      <c r="K69" s="75"/>
      <c r="L69" s="81"/>
      <c r="M69" s="33"/>
      <c r="N69" s="382"/>
      <c r="O69" s="83"/>
      <c r="P69" s="83"/>
      <c r="Q69" s="83"/>
      <c r="R69" s="83"/>
      <c r="S69" s="83"/>
      <c r="T69" s="83"/>
      <c r="U69" s="83"/>
      <c r="V69" s="83"/>
      <c r="W69" s="83"/>
      <c r="X69" s="383"/>
      <c r="Y69" s="33"/>
      <c r="Z69" s="382"/>
      <c r="AA69" s="83"/>
      <c r="AB69" s="83"/>
      <c r="AC69" s="83"/>
      <c r="AD69" s="83"/>
      <c r="AE69" s="83"/>
      <c r="AF69" s="83"/>
      <c r="AG69" s="83"/>
      <c r="AH69" s="83"/>
      <c r="AI69" s="83"/>
      <c r="AJ69" s="383"/>
      <c r="AK69" s="33"/>
      <c r="AL69" s="16"/>
      <c r="AM69" s="16"/>
      <c r="AN69" s="16"/>
      <c r="AO69" s="16"/>
      <c r="AP69" s="16"/>
      <c r="AQ69" s="16"/>
      <c r="AR69" s="16"/>
      <c r="AS69" s="16"/>
      <c r="AT69" s="16"/>
      <c r="AU69" s="16"/>
      <c r="AV69" s="16"/>
      <c r="AW69" s="44"/>
      <c r="AX69" s="9" t="s">
        <v>53</v>
      </c>
      <c r="AY69" s="207"/>
      <c r="AZ69" s="207"/>
      <c r="BA69" s="207"/>
      <c r="BB69" s="207"/>
      <c r="BC69" s="207"/>
      <c r="BD69" s="207"/>
      <c r="BE69" s="207"/>
      <c r="BF69" s="207"/>
      <c r="BG69" s="207"/>
      <c r="BH69" s="207"/>
      <c r="BI69" s="208"/>
      <c r="BJ69" s="33"/>
    </row>
    <row r="70" spans="1:62" ht="12.75">
      <c r="A70" s="82" t="s">
        <v>54</v>
      </c>
      <c r="B70" s="70"/>
      <c r="C70" s="70"/>
      <c r="D70" s="70"/>
      <c r="E70" s="70"/>
      <c r="F70" s="70"/>
      <c r="G70" s="70"/>
      <c r="H70" s="70"/>
      <c r="I70" s="70"/>
      <c r="J70" s="70"/>
      <c r="K70" s="70"/>
      <c r="L70" s="81"/>
      <c r="M70" s="33"/>
      <c r="N70" s="382"/>
      <c r="O70" s="83"/>
      <c r="P70" s="83"/>
      <c r="Q70" s="83"/>
      <c r="R70" s="83"/>
      <c r="S70" s="83"/>
      <c r="T70" s="83"/>
      <c r="U70" s="83"/>
      <c r="V70" s="83"/>
      <c r="W70" s="83"/>
      <c r="X70" s="383"/>
      <c r="Y70" s="33"/>
      <c r="Z70" s="382"/>
      <c r="AA70" s="83"/>
      <c r="AB70" s="83"/>
      <c r="AC70" s="83"/>
      <c r="AD70" s="83"/>
      <c r="AE70" s="83"/>
      <c r="AF70" s="83"/>
      <c r="AG70" s="83"/>
      <c r="AH70" s="83"/>
      <c r="AI70" s="83"/>
      <c r="AJ70" s="383"/>
      <c r="AK70" s="33"/>
      <c r="AL70" s="92"/>
      <c r="AM70" s="92"/>
      <c r="AN70" s="92"/>
      <c r="AO70" s="92"/>
      <c r="AP70" s="92"/>
      <c r="AQ70" s="92"/>
      <c r="AR70" s="92"/>
      <c r="AS70" s="92"/>
      <c r="AT70" s="92"/>
      <c r="AU70" s="92"/>
      <c r="AV70" s="92"/>
      <c r="AW70" s="45"/>
      <c r="AX70" s="10" t="s">
        <v>54</v>
      </c>
      <c r="AY70" s="209"/>
      <c r="AZ70" s="209"/>
      <c r="BA70" s="209"/>
      <c r="BB70" s="209"/>
      <c r="BC70" s="209"/>
      <c r="BD70" s="209"/>
      <c r="BE70" s="209"/>
      <c r="BF70" s="209"/>
      <c r="BG70" s="209"/>
      <c r="BH70" s="209"/>
      <c r="BI70" s="208"/>
      <c r="BJ70" s="33"/>
    </row>
    <row r="71" spans="1:62" ht="12.75">
      <c r="A71" s="82" t="s">
        <v>55</v>
      </c>
      <c r="B71" s="70"/>
      <c r="C71" s="70"/>
      <c r="D71" s="70"/>
      <c r="E71" s="70"/>
      <c r="F71" s="70"/>
      <c r="G71" s="70"/>
      <c r="H71" s="70"/>
      <c r="I71" s="70"/>
      <c r="J71" s="70"/>
      <c r="K71" s="70"/>
      <c r="L71" s="81"/>
      <c r="M71" s="33"/>
      <c r="N71" s="382"/>
      <c r="O71" s="83"/>
      <c r="P71" s="83"/>
      <c r="Q71" s="83"/>
      <c r="R71" s="83"/>
      <c r="S71" s="83"/>
      <c r="T71" s="83"/>
      <c r="U71" s="83"/>
      <c r="V71" s="83"/>
      <c r="W71" s="83"/>
      <c r="X71" s="383"/>
      <c r="Y71" s="33"/>
      <c r="Z71" s="382"/>
      <c r="AA71" s="83"/>
      <c r="AB71" s="83"/>
      <c r="AC71" s="83"/>
      <c r="AD71" s="83"/>
      <c r="AE71" s="83"/>
      <c r="AF71" s="83"/>
      <c r="AG71" s="83"/>
      <c r="AH71" s="83"/>
      <c r="AI71" s="83"/>
      <c r="AJ71" s="383"/>
      <c r="AK71" s="33"/>
      <c r="AL71" s="92"/>
      <c r="AM71" s="92"/>
      <c r="AN71" s="92"/>
      <c r="AO71" s="92"/>
      <c r="AP71" s="92"/>
      <c r="AQ71" s="92"/>
      <c r="AR71" s="92"/>
      <c r="AS71" s="92"/>
      <c r="AT71" s="92"/>
      <c r="AU71" s="92"/>
      <c r="AV71" s="92"/>
      <c r="AW71" s="45"/>
      <c r="AX71" s="10" t="s">
        <v>55</v>
      </c>
      <c r="AY71" s="209"/>
      <c r="AZ71" s="209"/>
      <c r="BA71" s="209"/>
      <c r="BB71" s="209"/>
      <c r="BC71" s="209"/>
      <c r="BD71" s="209"/>
      <c r="BE71" s="209"/>
      <c r="BF71" s="209"/>
      <c r="BG71" s="209"/>
      <c r="BH71" s="209"/>
      <c r="BI71" s="208"/>
      <c r="BJ71" s="33"/>
    </row>
    <row r="72" spans="1:62" ht="12.75">
      <c r="A72" s="80" t="s">
        <v>56</v>
      </c>
      <c r="B72" s="75"/>
      <c r="C72" s="75"/>
      <c r="D72" s="75"/>
      <c r="E72" s="75"/>
      <c r="F72" s="75"/>
      <c r="G72" s="75"/>
      <c r="H72" s="75"/>
      <c r="I72" s="75"/>
      <c r="J72" s="75"/>
      <c r="K72" s="75"/>
      <c r="L72" s="81"/>
      <c r="M72" s="33"/>
      <c r="N72" s="382"/>
      <c r="O72" s="83"/>
      <c r="P72" s="83"/>
      <c r="Q72" s="83"/>
      <c r="R72" s="83"/>
      <c r="S72" s="83"/>
      <c r="T72" s="83"/>
      <c r="U72" s="83"/>
      <c r="V72" s="83"/>
      <c r="W72" s="83"/>
      <c r="X72" s="383"/>
      <c r="Y72" s="33"/>
      <c r="Z72" s="382"/>
      <c r="AA72" s="83"/>
      <c r="AB72" s="83"/>
      <c r="AC72" s="83"/>
      <c r="AD72" s="83"/>
      <c r="AE72" s="83"/>
      <c r="AF72" s="83"/>
      <c r="AG72" s="83"/>
      <c r="AH72" s="83"/>
      <c r="AI72" s="83"/>
      <c r="AJ72" s="383"/>
      <c r="AK72" s="33"/>
      <c r="AL72" s="16"/>
      <c r="AM72" s="92"/>
      <c r="AN72" s="16"/>
      <c r="AO72" s="16"/>
      <c r="AP72" s="16"/>
      <c r="AQ72" s="16"/>
      <c r="AR72" s="16"/>
      <c r="AS72" s="16"/>
      <c r="AT72" s="16"/>
      <c r="AU72" s="16"/>
      <c r="AV72" s="16"/>
      <c r="AW72" s="44"/>
      <c r="AX72" s="9" t="s">
        <v>56</v>
      </c>
      <c r="AY72" s="207"/>
      <c r="AZ72" s="207"/>
      <c r="BA72" s="207"/>
      <c r="BB72" s="207"/>
      <c r="BC72" s="207"/>
      <c r="BD72" s="207"/>
      <c r="BE72" s="207"/>
      <c r="BF72" s="207"/>
      <c r="BG72" s="207"/>
      <c r="BH72" s="207"/>
      <c r="BI72" s="208"/>
      <c r="BJ72" s="33"/>
    </row>
    <row r="73" spans="1:62" ht="12.75">
      <c r="A73" s="82" t="s">
        <v>57</v>
      </c>
      <c r="B73" s="70"/>
      <c r="C73" s="70"/>
      <c r="D73" s="70"/>
      <c r="E73" s="70"/>
      <c r="F73" s="83"/>
      <c r="G73" s="83"/>
      <c r="H73" s="70"/>
      <c r="I73" s="70"/>
      <c r="J73" s="83"/>
      <c r="K73" s="70"/>
      <c r="L73" s="98"/>
      <c r="M73" s="33"/>
      <c r="N73" s="382"/>
      <c r="O73" s="83"/>
      <c r="P73" s="83"/>
      <c r="Q73" s="83"/>
      <c r="R73" s="83"/>
      <c r="S73" s="83"/>
      <c r="T73" s="83"/>
      <c r="U73" s="83"/>
      <c r="V73" s="83"/>
      <c r="W73" s="83"/>
      <c r="X73" s="383"/>
      <c r="Y73" s="33"/>
      <c r="Z73" s="382"/>
      <c r="AA73" s="83"/>
      <c r="AB73" s="83"/>
      <c r="AC73" s="83"/>
      <c r="AD73" s="83"/>
      <c r="AE73" s="83"/>
      <c r="AF73" s="83"/>
      <c r="AG73" s="83"/>
      <c r="AH73" s="83"/>
      <c r="AI73" s="83"/>
      <c r="AJ73" s="383"/>
      <c r="AK73" s="33"/>
      <c r="AL73" s="92"/>
      <c r="AM73" s="92"/>
      <c r="AN73" s="92"/>
      <c r="AO73" s="92"/>
      <c r="AP73" s="92"/>
      <c r="AQ73" s="93"/>
      <c r="AR73" s="93"/>
      <c r="AS73" s="92"/>
      <c r="AT73" s="92"/>
      <c r="AU73" s="93"/>
      <c r="AV73" s="92"/>
      <c r="AW73" s="46"/>
      <c r="AX73" s="10" t="s">
        <v>57</v>
      </c>
      <c r="AY73" s="210"/>
      <c r="AZ73" s="211"/>
      <c r="BA73" s="211"/>
      <c r="BB73" s="211"/>
      <c r="BC73" s="211"/>
      <c r="BD73" s="211"/>
      <c r="BE73" s="211"/>
      <c r="BF73" s="211"/>
      <c r="BG73" s="211"/>
      <c r="BH73" s="211"/>
      <c r="BI73" s="208"/>
      <c r="BJ73" s="33"/>
    </row>
    <row r="74" spans="1:70" ht="13.5" thickBot="1">
      <c r="A74" s="84" t="s">
        <v>58</v>
      </c>
      <c r="B74" s="85"/>
      <c r="C74" s="86"/>
      <c r="D74" s="85"/>
      <c r="E74" s="85"/>
      <c r="F74" s="85"/>
      <c r="G74" s="85"/>
      <c r="H74" s="85"/>
      <c r="I74" s="85"/>
      <c r="J74" s="85"/>
      <c r="K74" s="85"/>
      <c r="L74" s="99"/>
      <c r="M74" s="33"/>
      <c r="N74" s="384"/>
      <c r="O74" s="86"/>
      <c r="P74" s="86"/>
      <c r="Q74" s="86"/>
      <c r="R74" s="86"/>
      <c r="S74" s="86"/>
      <c r="T74" s="86"/>
      <c r="U74" s="86"/>
      <c r="V74" s="86"/>
      <c r="W74" s="86"/>
      <c r="X74" s="385"/>
      <c r="Y74" s="33"/>
      <c r="Z74" s="384"/>
      <c r="AA74" s="86"/>
      <c r="AB74" s="86"/>
      <c r="AC74" s="86"/>
      <c r="AD74" s="86"/>
      <c r="AE74" s="86"/>
      <c r="AF74" s="86"/>
      <c r="AG74" s="86"/>
      <c r="AH74" s="86"/>
      <c r="AI74" s="86"/>
      <c r="AJ74" s="385"/>
      <c r="AK74" s="33"/>
      <c r="AL74" s="92"/>
      <c r="AM74" s="92"/>
      <c r="AN74" s="93"/>
      <c r="AO74" s="92"/>
      <c r="AP74" s="92"/>
      <c r="AQ74" s="92"/>
      <c r="AR74" s="92"/>
      <c r="AS74" s="92"/>
      <c r="AT74" s="92"/>
      <c r="AU74" s="92"/>
      <c r="AV74" s="92"/>
      <c r="AW74" s="47"/>
      <c r="AX74" s="11" t="s">
        <v>58</v>
      </c>
      <c r="AY74" s="212"/>
      <c r="AZ74" s="213"/>
      <c r="BA74" s="213"/>
      <c r="BB74" s="213"/>
      <c r="BC74" s="213"/>
      <c r="BD74" s="213"/>
      <c r="BE74" s="213"/>
      <c r="BF74" s="213"/>
      <c r="BG74" s="213"/>
      <c r="BH74" s="213"/>
      <c r="BI74" s="214"/>
      <c r="BJ74" s="33"/>
      <c r="BR74" s="32"/>
    </row>
    <row r="75" spans="13:25" ht="12.75">
      <c r="M75" s="33"/>
      <c r="Y75" s="33"/>
    </row>
    <row r="76" spans="1:36" ht="16.5" thickBot="1">
      <c r="A76" s="235" t="s">
        <v>140</v>
      </c>
      <c r="B76" s="274" t="s">
        <v>456</v>
      </c>
      <c r="C76" s="250"/>
      <c r="D76" s="250"/>
      <c r="E76" s="250"/>
      <c r="F76" s="250"/>
      <c r="G76" s="250"/>
      <c r="H76" s="250"/>
      <c r="I76" s="250"/>
      <c r="J76" s="249"/>
      <c r="K76" s="249"/>
      <c r="L76" s="251"/>
      <c r="M76" s="33"/>
      <c r="N76" s="275" t="s">
        <v>141</v>
      </c>
      <c r="O76" s="249"/>
      <c r="P76" s="249"/>
      <c r="Q76" s="249"/>
      <c r="R76" s="249"/>
      <c r="S76" s="249"/>
      <c r="T76" s="249"/>
      <c r="U76" s="249"/>
      <c r="V76" s="249"/>
      <c r="W76" s="249"/>
      <c r="X76" s="249"/>
      <c r="Y76" s="33"/>
      <c r="Z76" s="274" t="s">
        <v>456</v>
      </c>
      <c r="AA76" s="250"/>
      <c r="AB76" s="250"/>
      <c r="AC76" s="250"/>
      <c r="AD76" s="250"/>
      <c r="AE76" s="250"/>
      <c r="AF76" s="250"/>
      <c r="AG76" s="250"/>
      <c r="AH76" s="249"/>
      <c r="AI76" s="249"/>
      <c r="AJ76" s="251"/>
    </row>
    <row r="77" spans="1:36" ht="16.5" thickBot="1">
      <c r="A77" s="248" t="s">
        <v>136</v>
      </c>
      <c r="B77" s="246"/>
      <c r="C77" s="246"/>
      <c r="D77" s="246"/>
      <c r="E77" s="246"/>
      <c r="F77" s="246"/>
      <c r="G77" s="246"/>
      <c r="H77" s="246"/>
      <c r="I77" s="246"/>
      <c r="J77" s="246"/>
      <c r="K77" s="246"/>
      <c r="L77" s="247"/>
      <c r="M77" s="33"/>
      <c r="N77" s="246"/>
      <c r="O77" s="246"/>
      <c r="P77" s="246"/>
      <c r="Q77" s="246"/>
      <c r="R77" s="246"/>
      <c r="S77" s="246"/>
      <c r="T77" s="246"/>
      <c r="U77" s="246"/>
      <c r="V77" s="246"/>
      <c r="W77" s="246"/>
      <c r="X77" s="246"/>
      <c r="Y77" s="33"/>
      <c r="Z77" s="246"/>
      <c r="AA77" s="246"/>
      <c r="AB77" s="246"/>
      <c r="AC77" s="246"/>
      <c r="AD77" s="246"/>
      <c r="AE77" s="246"/>
      <c r="AF77" s="246"/>
      <c r="AG77" s="246"/>
      <c r="AH77" s="246"/>
      <c r="AI77" s="246"/>
      <c r="AJ77" s="247"/>
    </row>
    <row r="78" spans="1:36" ht="15">
      <c r="A78" s="92" t="s">
        <v>9</v>
      </c>
      <c r="B78" s="246"/>
      <c r="C78" s="246"/>
      <c r="D78" s="246"/>
      <c r="E78" s="246"/>
      <c r="F78" s="246"/>
      <c r="G78" s="246"/>
      <c r="H78" s="246"/>
      <c r="I78" s="246"/>
      <c r="J78" s="246"/>
      <c r="K78" s="246"/>
      <c r="L78" s="247"/>
      <c r="M78" s="33"/>
      <c r="N78" s="246"/>
      <c r="O78" s="246"/>
      <c r="P78" s="246"/>
      <c r="Q78" s="246"/>
      <c r="R78" s="246"/>
      <c r="S78" s="246"/>
      <c r="T78" s="246"/>
      <c r="U78" s="246"/>
      <c r="V78" s="246"/>
      <c r="W78" s="246"/>
      <c r="X78" s="246"/>
      <c r="Y78" s="33"/>
      <c r="Z78" s="246"/>
      <c r="AA78" s="246"/>
      <c r="AB78" s="246"/>
      <c r="AC78" s="246"/>
      <c r="AD78" s="246"/>
      <c r="AE78" s="246"/>
      <c r="AF78" s="246"/>
      <c r="AG78" s="246"/>
      <c r="AH78" s="246"/>
      <c r="AI78" s="246"/>
      <c r="AJ78" s="247"/>
    </row>
    <row r="79" spans="1:36" ht="15">
      <c r="A79" s="236" t="s">
        <v>13</v>
      </c>
      <c r="B79" s="246"/>
      <c r="C79" s="246"/>
      <c r="D79" s="246"/>
      <c r="E79" s="246"/>
      <c r="F79" s="246"/>
      <c r="G79" s="246"/>
      <c r="H79" s="246"/>
      <c r="I79" s="246"/>
      <c r="J79" s="246"/>
      <c r="K79" s="246"/>
      <c r="L79" s="247"/>
      <c r="M79" s="33"/>
      <c r="N79" s="246"/>
      <c r="O79" s="246"/>
      <c r="P79" s="246"/>
      <c r="Q79" s="246"/>
      <c r="R79" s="246"/>
      <c r="S79" s="246"/>
      <c r="T79" s="246"/>
      <c r="U79" s="246"/>
      <c r="V79" s="246"/>
      <c r="W79" s="246"/>
      <c r="X79" s="246"/>
      <c r="Y79" s="33"/>
      <c r="Z79" s="246"/>
      <c r="AA79" s="246"/>
      <c r="AB79" s="246"/>
      <c r="AC79" s="246"/>
      <c r="AD79" s="246"/>
      <c r="AE79" s="246"/>
      <c r="AF79" s="246"/>
      <c r="AG79" s="246"/>
      <c r="AH79" s="246"/>
      <c r="AI79" s="246"/>
      <c r="AJ79" s="247"/>
    </row>
    <row r="80" spans="1:36" ht="15">
      <c r="A80" s="236" t="s">
        <v>10</v>
      </c>
      <c r="B80" s="245">
        <v>1</v>
      </c>
      <c r="C80" s="245">
        <v>1</v>
      </c>
      <c r="D80" s="245">
        <v>3</v>
      </c>
      <c r="E80" s="245">
        <v>3</v>
      </c>
      <c r="F80" s="246"/>
      <c r="G80" s="246"/>
      <c r="H80" s="246"/>
      <c r="I80" s="245">
        <v>3</v>
      </c>
      <c r="J80" s="246"/>
      <c r="K80" s="246"/>
      <c r="L80" s="246"/>
      <c r="M80" s="33"/>
      <c r="N80" s="245">
        <v>1</v>
      </c>
      <c r="O80" s="245">
        <v>1</v>
      </c>
      <c r="P80" s="245">
        <v>1</v>
      </c>
      <c r="Q80" s="245">
        <v>1</v>
      </c>
      <c r="R80" s="246"/>
      <c r="S80" s="246"/>
      <c r="T80" s="246"/>
      <c r="U80" s="245">
        <v>1</v>
      </c>
      <c r="V80" s="246"/>
      <c r="W80" s="246"/>
      <c r="X80" s="246"/>
      <c r="Y80" s="33"/>
      <c r="Z80" s="245">
        <v>1</v>
      </c>
      <c r="AA80" s="245">
        <v>1</v>
      </c>
      <c r="AB80" s="245">
        <v>3</v>
      </c>
      <c r="AC80" s="245">
        <v>3</v>
      </c>
      <c r="AD80" s="246"/>
      <c r="AE80" s="246"/>
      <c r="AF80" s="246"/>
      <c r="AG80" s="245">
        <v>3</v>
      </c>
      <c r="AH80" s="246"/>
      <c r="AI80" s="246"/>
      <c r="AJ80" s="246"/>
    </row>
    <row r="81" spans="1:36" ht="15">
      <c r="A81" s="236" t="s">
        <v>11</v>
      </c>
      <c r="B81" s="245">
        <v>3</v>
      </c>
      <c r="C81" s="245">
        <v>3</v>
      </c>
      <c r="D81" s="245">
        <v>3</v>
      </c>
      <c r="E81" s="245">
        <v>3</v>
      </c>
      <c r="F81" s="246"/>
      <c r="G81" s="246"/>
      <c r="H81" s="246"/>
      <c r="I81" s="245">
        <v>3</v>
      </c>
      <c r="J81" s="246"/>
      <c r="K81" s="246"/>
      <c r="L81" s="246"/>
      <c r="M81" s="33"/>
      <c r="N81" s="245">
        <v>1</v>
      </c>
      <c r="O81" s="245">
        <v>1</v>
      </c>
      <c r="P81" s="245">
        <v>1</v>
      </c>
      <c r="Q81" s="245">
        <v>1</v>
      </c>
      <c r="R81" s="246"/>
      <c r="S81" s="246"/>
      <c r="T81" s="246"/>
      <c r="U81" s="245">
        <v>1</v>
      </c>
      <c r="V81" s="246"/>
      <c r="W81" s="246"/>
      <c r="X81" s="246"/>
      <c r="Y81" s="33"/>
      <c r="Z81" s="245">
        <v>3</v>
      </c>
      <c r="AA81" s="245">
        <v>3</v>
      </c>
      <c r="AB81" s="245">
        <v>3</v>
      </c>
      <c r="AC81" s="245">
        <v>3</v>
      </c>
      <c r="AD81" s="246"/>
      <c r="AE81" s="246"/>
      <c r="AF81" s="246"/>
      <c r="AG81" s="245">
        <v>3</v>
      </c>
      <c r="AH81" s="246"/>
      <c r="AI81" s="246"/>
      <c r="AJ81" s="246"/>
    </row>
    <row r="82" spans="1:36" ht="15">
      <c r="A82" s="236" t="s">
        <v>12</v>
      </c>
      <c r="B82" s="245">
        <v>10</v>
      </c>
      <c r="C82" s="245">
        <v>10</v>
      </c>
      <c r="D82" s="245">
        <v>10</v>
      </c>
      <c r="E82" s="245">
        <v>10</v>
      </c>
      <c r="F82" s="246"/>
      <c r="G82" s="246"/>
      <c r="H82" s="246"/>
      <c r="I82" s="244">
        <v>10</v>
      </c>
      <c r="J82" s="246"/>
      <c r="K82" s="246"/>
      <c r="L82" s="246"/>
      <c r="M82" s="33"/>
      <c r="N82" s="245">
        <v>1</v>
      </c>
      <c r="O82" s="245">
        <v>1</v>
      </c>
      <c r="P82" s="245">
        <v>1</v>
      </c>
      <c r="Q82" s="245">
        <v>1</v>
      </c>
      <c r="R82" s="246"/>
      <c r="S82" s="246"/>
      <c r="T82" s="246"/>
      <c r="U82" s="245">
        <v>1</v>
      </c>
      <c r="V82" s="246"/>
      <c r="W82" s="246"/>
      <c r="X82" s="246"/>
      <c r="Y82" s="33"/>
      <c r="Z82" s="245">
        <v>10</v>
      </c>
      <c r="AA82" s="245">
        <v>10</v>
      </c>
      <c r="AB82" s="245">
        <v>10</v>
      </c>
      <c r="AC82" s="245">
        <v>10</v>
      </c>
      <c r="AD82" s="246"/>
      <c r="AE82" s="246"/>
      <c r="AF82" s="246"/>
      <c r="AG82" s="244">
        <v>10</v>
      </c>
      <c r="AH82" s="246"/>
      <c r="AI82" s="246"/>
      <c r="AJ82" s="246"/>
    </row>
    <row r="83" spans="1:36" ht="15">
      <c r="A83" s="236" t="s">
        <v>14</v>
      </c>
      <c r="B83" s="245">
        <v>3</v>
      </c>
      <c r="C83" s="245">
        <v>3</v>
      </c>
      <c r="D83" s="245">
        <v>3</v>
      </c>
      <c r="E83" s="245">
        <v>3</v>
      </c>
      <c r="F83" s="246"/>
      <c r="G83" s="246"/>
      <c r="H83" s="246"/>
      <c r="I83" s="245">
        <v>3</v>
      </c>
      <c r="J83" s="246"/>
      <c r="K83" s="246"/>
      <c r="L83" s="246"/>
      <c r="M83" s="33"/>
      <c r="N83" s="245">
        <v>1</v>
      </c>
      <c r="O83" s="245">
        <v>1</v>
      </c>
      <c r="P83" s="245">
        <v>1</v>
      </c>
      <c r="Q83" s="245">
        <v>1</v>
      </c>
      <c r="R83" s="246"/>
      <c r="S83" s="246"/>
      <c r="T83" s="246"/>
      <c r="U83" s="245">
        <v>1</v>
      </c>
      <c r="V83" s="246"/>
      <c r="W83" s="246"/>
      <c r="X83" s="246"/>
      <c r="Y83" s="33"/>
      <c r="Z83" s="245">
        <v>3</v>
      </c>
      <c r="AA83" s="245">
        <v>3</v>
      </c>
      <c r="AB83" s="245">
        <v>3</v>
      </c>
      <c r="AC83" s="245">
        <v>3</v>
      </c>
      <c r="AD83" s="246"/>
      <c r="AE83" s="246"/>
      <c r="AF83" s="246"/>
      <c r="AG83" s="245">
        <v>3</v>
      </c>
      <c r="AH83" s="246"/>
      <c r="AI83" s="246"/>
      <c r="AJ83" s="246"/>
    </row>
    <row r="84" spans="1:36" ht="15">
      <c r="A84" s="236" t="s">
        <v>15</v>
      </c>
      <c r="B84" s="245">
        <v>1</v>
      </c>
      <c r="C84" s="245">
        <v>1</v>
      </c>
      <c r="D84" s="245">
        <v>1</v>
      </c>
      <c r="E84" s="245">
        <v>1</v>
      </c>
      <c r="F84" s="246"/>
      <c r="G84" s="246"/>
      <c r="H84" s="246"/>
      <c r="I84" s="244">
        <v>1</v>
      </c>
      <c r="J84" s="246"/>
      <c r="K84" s="246"/>
      <c r="L84" s="246"/>
      <c r="M84" s="33"/>
      <c r="N84" s="245">
        <v>1</v>
      </c>
      <c r="O84" s="245">
        <v>1</v>
      </c>
      <c r="P84" s="245">
        <v>1</v>
      </c>
      <c r="Q84" s="245">
        <v>1</v>
      </c>
      <c r="R84" s="246"/>
      <c r="S84" s="246"/>
      <c r="T84" s="246"/>
      <c r="U84" s="245">
        <v>1</v>
      </c>
      <c r="V84" s="246"/>
      <c r="W84" s="246"/>
      <c r="X84" s="246"/>
      <c r="Y84" s="33"/>
      <c r="Z84" s="245">
        <v>1</v>
      </c>
      <c r="AA84" s="245">
        <v>1</v>
      </c>
      <c r="AB84" s="245">
        <v>1</v>
      </c>
      <c r="AC84" s="245">
        <v>1</v>
      </c>
      <c r="AD84" s="246"/>
      <c r="AE84" s="246"/>
      <c r="AF84" s="246"/>
      <c r="AG84" s="244">
        <v>1</v>
      </c>
      <c r="AH84" s="246"/>
      <c r="AI84" s="246"/>
      <c r="AJ84" s="246"/>
    </row>
    <row r="85" spans="1:36" ht="15">
      <c r="A85" s="236" t="s">
        <v>16</v>
      </c>
      <c r="B85" s="245">
        <v>3</v>
      </c>
      <c r="C85" s="245">
        <v>3</v>
      </c>
      <c r="D85" s="245">
        <v>3</v>
      </c>
      <c r="E85" s="245">
        <v>3</v>
      </c>
      <c r="F85" s="246"/>
      <c r="G85" s="246"/>
      <c r="H85" s="246"/>
      <c r="I85" s="245">
        <v>3</v>
      </c>
      <c r="J85" s="246"/>
      <c r="K85" s="246"/>
      <c r="L85" s="246"/>
      <c r="M85" s="33"/>
      <c r="N85" s="245">
        <v>1</v>
      </c>
      <c r="O85" s="245">
        <v>1</v>
      </c>
      <c r="P85" s="245">
        <v>1</v>
      </c>
      <c r="Q85" s="245">
        <v>1</v>
      </c>
      <c r="R85" s="246"/>
      <c r="S85" s="246"/>
      <c r="T85" s="246"/>
      <c r="U85" s="245">
        <v>1</v>
      </c>
      <c r="V85" s="246"/>
      <c r="W85" s="246"/>
      <c r="X85" s="246"/>
      <c r="Y85" s="33"/>
      <c r="Z85" s="245">
        <v>3</v>
      </c>
      <c r="AA85" s="245">
        <v>3</v>
      </c>
      <c r="AB85" s="245">
        <v>3</v>
      </c>
      <c r="AC85" s="245">
        <v>3</v>
      </c>
      <c r="AD85" s="246"/>
      <c r="AE85" s="246"/>
      <c r="AF85" s="246"/>
      <c r="AG85" s="245">
        <v>3</v>
      </c>
      <c r="AH85" s="246"/>
      <c r="AI85" s="246"/>
      <c r="AJ85" s="246"/>
    </row>
    <row r="86" spans="1:36" ht="15">
      <c r="A86" s="236" t="s">
        <v>17</v>
      </c>
      <c r="B86" s="245">
        <v>3</v>
      </c>
      <c r="C86" s="245">
        <v>3</v>
      </c>
      <c r="D86" s="245">
        <v>3</v>
      </c>
      <c r="E86" s="245">
        <v>3</v>
      </c>
      <c r="F86" s="246"/>
      <c r="G86" s="246"/>
      <c r="H86" s="246"/>
      <c r="I86" s="245">
        <v>3</v>
      </c>
      <c r="J86" s="246"/>
      <c r="K86" s="246"/>
      <c r="L86" s="246"/>
      <c r="M86" s="33"/>
      <c r="N86" s="245">
        <v>1</v>
      </c>
      <c r="O86" s="245">
        <v>1</v>
      </c>
      <c r="P86" s="245">
        <v>1</v>
      </c>
      <c r="Q86" s="245">
        <v>1</v>
      </c>
      <c r="R86" s="246"/>
      <c r="S86" s="246"/>
      <c r="T86" s="246"/>
      <c r="U86" s="245">
        <v>1</v>
      </c>
      <c r="V86" s="246"/>
      <c r="W86" s="246"/>
      <c r="X86" s="246"/>
      <c r="Y86" s="33"/>
      <c r="Z86" s="245">
        <v>3</v>
      </c>
      <c r="AA86" s="245">
        <v>3</v>
      </c>
      <c r="AB86" s="245">
        <v>3</v>
      </c>
      <c r="AC86" s="245">
        <v>3</v>
      </c>
      <c r="AD86" s="246"/>
      <c r="AE86" s="246"/>
      <c r="AF86" s="246"/>
      <c r="AG86" s="245">
        <v>3</v>
      </c>
      <c r="AH86" s="246"/>
      <c r="AI86" s="246"/>
      <c r="AJ86" s="246"/>
    </row>
    <row r="87" spans="1:36" ht="15">
      <c r="A87" s="236" t="s">
        <v>18</v>
      </c>
      <c r="B87" s="245">
        <v>3</v>
      </c>
      <c r="C87" s="245">
        <v>3</v>
      </c>
      <c r="D87" s="245">
        <v>3</v>
      </c>
      <c r="E87" s="245">
        <v>3</v>
      </c>
      <c r="F87" s="246"/>
      <c r="G87" s="246"/>
      <c r="H87" s="246"/>
      <c r="I87" s="245">
        <v>3</v>
      </c>
      <c r="J87" s="246"/>
      <c r="K87" s="246"/>
      <c r="L87" s="246"/>
      <c r="M87" s="33"/>
      <c r="N87" s="245">
        <v>1</v>
      </c>
      <c r="O87" s="245">
        <v>1</v>
      </c>
      <c r="P87" s="245">
        <v>1</v>
      </c>
      <c r="Q87" s="245">
        <v>1</v>
      </c>
      <c r="R87" s="246"/>
      <c r="S87" s="246"/>
      <c r="T87" s="246"/>
      <c r="U87" s="245">
        <v>1</v>
      </c>
      <c r="V87" s="246"/>
      <c r="W87" s="246"/>
      <c r="X87" s="246"/>
      <c r="Y87" s="33"/>
      <c r="Z87" s="245">
        <v>3</v>
      </c>
      <c r="AA87" s="245">
        <v>3</v>
      </c>
      <c r="AB87" s="245">
        <v>3</v>
      </c>
      <c r="AC87" s="245">
        <v>3</v>
      </c>
      <c r="AD87" s="246"/>
      <c r="AE87" s="246"/>
      <c r="AF87" s="246"/>
      <c r="AG87" s="245">
        <v>3</v>
      </c>
      <c r="AH87" s="246"/>
      <c r="AI87" s="246"/>
      <c r="AJ87" s="246"/>
    </row>
    <row r="88" spans="1:36" ht="15">
      <c r="A88" s="236" t="s">
        <v>19</v>
      </c>
      <c r="B88" s="245">
        <v>3</v>
      </c>
      <c r="C88" s="245">
        <v>3</v>
      </c>
      <c r="D88" s="245">
        <v>3</v>
      </c>
      <c r="E88" s="245">
        <v>3</v>
      </c>
      <c r="F88" s="246"/>
      <c r="G88" s="246"/>
      <c r="H88" s="246"/>
      <c r="I88" s="245">
        <v>3</v>
      </c>
      <c r="J88" s="246"/>
      <c r="K88" s="246"/>
      <c r="L88" s="246"/>
      <c r="M88" s="33"/>
      <c r="N88" s="245">
        <v>1</v>
      </c>
      <c r="O88" s="245">
        <v>1</v>
      </c>
      <c r="P88" s="245">
        <v>1</v>
      </c>
      <c r="Q88" s="245">
        <v>1</v>
      </c>
      <c r="R88" s="246"/>
      <c r="S88" s="246"/>
      <c r="T88" s="246"/>
      <c r="U88" s="245">
        <v>1</v>
      </c>
      <c r="V88" s="246"/>
      <c r="W88" s="246"/>
      <c r="X88" s="246"/>
      <c r="Y88" s="33"/>
      <c r="Z88" s="245">
        <v>3</v>
      </c>
      <c r="AA88" s="245">
        <v>3</v>
      </c>
      <c r="AB88" s="245">
        <v>3</v>
      </c>
      <c r="AC88" s="245">
        <v>3</v>
      </c>
      <c r="AD88" s="246"/>
      <c r="AE88" s="246"/>
      <c r="AF88" s="246"/>
      <c r="AG88" s="245">
        <v>3</v>
      </c>
      <c r="AH88" s="246"/>
      <c r="AI88" s="246"/>
      <c r="AJ88" s="246"/>
    </row>
    <row r="89" spans="1:36" ht="15">
      <c r="A89" s="92" t="s">
        <v>20</v>
      </c>
      <c r="B89" s="246"/>
      <c r="C89" s="246"/>
      <c r="D89" s="246"/>
      <c r="E89" s="246"/>
      <c r="F89" s="246"/>
      <c r="G89" s="246"/>
      <c r="H89" s="246"/>
      <c r="I89" s="246"/>
      <c r="J89" s="246"/>
      <c r="K89" s="246"/>
      <c r="L89" s="246"/>
      <c r="M89" s="33"/>
      <c r="N89" s="246"/>
      <c r="O89" s="246"/>
      <c r="P89" s="246"/>
      <c r="Q89" s="246"/>
      <c r="R89" s="246"/>
      <c r="S89" s="246"/>
      <c r="T89" s="246"/>
      <c r="U89" s="246"/>
      <c r="V89" s="246"/>
      <c r="W89" s="246"/>
      <c r="X89" s="246"/>
      <c r="Y89" s="33"/>
      <c r="Z89" s="246"/>
      <c r="AA89" s="246"/>
      <c r="AB89" s="246"/>
      <c r="AC89" s="246"/>
      <c r="AD89" s="246"/>
      <c r="AE89" s="246"/>
      <c r="AF89" s="246"/>
      <c r="AG89" s="246"/>
      <c r="AH89" s="246"/>
      <c r="AI89" s="246"/>
      <c r="AJ89" s="246"/>
    </row>
    <row r="90" spans="1:36" ht="15.75" thickBot="1">
      <c r="A90" s="236"/>
      <c r="B90" s="246"/>
      <c r="C90" s="246"/>
      <c r="D90" s="246"/>
      <c r="E90" s="246"/>
      <c r="F90" s="246"/>
      <c r="G90" s="246"/>
      <c r="H90" s="246"/>
      <c r="I90" s="246"/>
      <c r="J90" s="246"/>
      <c r="K90" s="246"/>
      <c r="L90" s="246"/>
      <c r="M90" s="33"/>
      <c r="N90" s="246"/>
      <c r="O90" s="246"/>
      <c r="P90" s="246"/>
      <c r="Q90" s="246"/>
      <c r="R90" s="246"/>
      <c r="S90" s="246"/>
      <c r="T90" s="246"/>
      <c r="U90" s="246"/>
      <c r="V90" s="246"/>
      <c r="W90" s="246"/>
      <c r="X90" s="246"/>
      <c r="Y90" s="33"/>
      <c r="Z90" s="246"/>
      <c r="AA90" s="246"/>
      <c r="AB90" s="246"/>
      <c r="AC90" s="246"/>
      <c r="AD90" s="246"/>
      <c r="AE90" s="246"/>
      <c r="AF90" s="246"/>
      <c r="AG90" s="246"/>
      <c r="AH90" s="246"/>
      <c r="AI90" s="246"/>
      <c r="AJ90" s="246"/>
    </row>
    <row r="91" spans="1:36" ht="16.5" thickBot="1">
      <c r="A91" s="237" t="s">
        <v>21</v>
      </c>
      <c r="B91" s="246"/>
      <c r="C91" s="246"/>
      <c r="D91" s="246"/>
      <c r="E91" s="246"/>
      <c r="F91" s="246"/>
      <c r="G91" s="246"/>
      <c r="H91" s="246"/>
      <c r="I91" s="246"/>
      <c r="J91" s="246"/>
      <c r="K91" s="246"/>
      <c r="L91" s="246"/>
      <c r="M91" s="33"/>
      <c r="N91" s="246"/>
      <c r="O91" s="246"/>
      <c r="P91" s="246"/>
      <c r="Q91" s="246"/>
      <c r="R91" s="246"/>
      <c r="S91" s="246"/>
      <c r="T91" s="246"/>
      <c r="U91" s="246"/>
      <c r="V91" s="246"/>
      <c r="W91" s="246"/>
      <c r="X91" s="246"/>
      <c r="Y91" s="33"/>
      <c r="Z91" s="246"/>
      <c r="AA91" s="246"/>
      <c r="AB91" s="246"/>
      <c r="AC91" s="246"/>
      <c r="AD91" s="246"/>
      <c r="AE91" s="246"/>
      <c r="AF91" s="246"/>
      <c r="AG91" s="246"/>
      <c r="AH91" s="246"/>
      <c r="AI91" s="246"/>
      <c r="AJ91" s="246"/>
    </row>
    <row r="92" spans="1:36" ht="15">
      <c r="A92" s="238" t="s">
        <v>22</v>
      </c>
      <c r="B92" s="246"/>
      <c r="C92" s="246"/>
      <c r="D92" s="246"/>
      <c r="E92" s="246"/>
      <c r="F92" s="246"/>
      <c r="G92" s="246"/>
      <c r="H92" s="246"/>
      <c r="I92" s="246"/>
      <c r="J92" s="246"/>
      <c r="K92" s="246"/>
      <c r="L92" s="246"/>
      <c r="M92" s="33"/>
      <c r="N92" s="246"/>
      <c r="O92" s="246"/>
      <c r="P92" s="246"/>
      <c r="Q92" s="246"/>
      <c r="R92" s="246"/>
      <c r="S92" s="246"/>
      <c r="T92" s="246"/>
      <c r="U92" s="246"/>
      <c r="V92" s="246"/>
      <c r="W92" s="246"/>
      <c r="X92" s="246"/>
      <c r="Y92" s="33"/>
      <c r="Z92" s="246"/>
      <c r="AA92" s="246"/>
      <c r="AB92" s="246"/>
      <c r="AC92" s="246"/>
      <c r="AD92" s="246"/>
      <c r="AE92" s="246"/>
      <c r="AF92" s="246"/>
      <c r="AG92" s="246"/>
      <c r="AH92" s="246"/>
      <c r="AI92" s="246"/>
      <c r="AJ92" s="246"/>
    </row>
    <row r="93" spans="1:36" ht="15">
      <c r="A93" s="236" t="s">
        <v>23</v>
      </c>
      <c r="B93" s="245">
        <v>1</v>
      </c>
      <c r="C93" s="245">
        <v>1</v>
      </c>
      <c r="D93" s="245">
        <v>1</v>
      </c>
      <c r="E93" s="245">
        <v>1</v>
      </c>
      <c r="F93" s="246"/>
      <c r="G93" s="246"/>
      <c r="H93" s="246"/>
      <c r="I93" s="245">
        <v>1</v>
      </c>
      <c r="J93" s="246"/>
      <c r="K93" s="246"/>
      <c r="L93" s="246"/>
      <c r="M93" s="33"/>
      <c r="N93" s="245">
        <v>1</v>
      </c>
      <c r="O93" s="245">
        <v>1</v>
      </c>
      <c r="P93" s="245">
        <v>1</v>
      </c>
      <c r="Q93" s="245">
        <v>1</v>
      </c>
      <c r="R93" s="246"/>
      <c r="S93" s="246"/>
      <c r="T93" s="246"/>
      <c r="U93" s="245">
        <v>1</v>
      </c>
      <c r="V93" s="246"/>
      <c r="W93" s="246"/>
      <c r="X93" s="246"/>
      <c r="Y93" s="33"/>
      <c r="Z93" s="245">
        <v>1</v>
      </c>
      <c r="AA93" s="245">
        <v>1</v>
      </c>
      <c r="AB93" s="245">
        <v>1</v>
      </c>
      <c r="AC93" s="245">
        <v>1</v>
      </c>
      <c r="AD93" s="246"/>
      <c r="AE93" s="246"/>
      <c r="AF93" s="246"/>
      <c r="AG93" s="245">
        <v>1</v>
      </c>
      <c r="AH93" s="246"/>
      <c r="AI93" s="246"/>
      <c r="AJ93" s="246"/>
    </row>
    <row r="94" spans="1:36" ht="15">
      <c r="A94" s="236" t="s">
        <v>24</v>
      </c>
      <c r="B94" s="245">
        <v>1</v>
      </c>
      <c r="C94" s="245">
        <v>1</v>
      </c>
      <c r="D94" s="245">
        <v>1</v>
      </c>
      <c r="E94" s="245">
        <v>1</v>
      </c>
      <c r="F94" s="246"/>
      <c r="G94" s="246"/>
      <c r="H94" s="246"/>
      <c r="I94" s="245">
        <v>1</v>
      </c>
      <c r="J94" s="246"/>
      <c r="K94" s="246"/>
      <c r="L94" s="246"/>
      <c r="M94" s="33"/>
      <c r="N94" s="245">
        <v>1</v>
      </c>
      <c r="O94" s="245">
        <v>1</v>
      </c>
      <c r="P94" s="245">
        <v>1</v>
      </c>
      <c r="Q94" s="245">
        <v>1</v>
      </c>
      <c r="R94" s="246"/>
      <c r="S94" s="246"/>
      <c r="T94" s="246"/>
      <c r="U94" s="245">
        <v>1</v>
      </c>
      <c r="V94" s="246"/>
      <c r="W94" s="246"/>
      <c r="X94" s="246"/>
      <c r="Y94" s="33"/>
      <c r="Z94" s="245">
        <v>1</v>
      </c>
      <c r="AA94" s="245">
        <v>1</v>
      </c>
      <c r="AB94" s="245">
        <v>1</v>
      </c>
      <c r="AC94" s="245">
        <v>1</v>
      </c>
      <c r="AD94" s="246"/>
      <c r="AE94" s="246"/>
      <c r="AF94" s="246"/>
      <c r="AG94" s="245">
        <v>1</v>
      </c>
      <c r="AH94" s="246"/>
      <c r="AI94" s="246"/>
      <c r="AJ94" s="246"/>
    </row>
    <row r="95" spans="1:36" ht="15">
      <c r="A95" s="236" t="s">
        <v>25</v>
      </c>
      <c r="B95" s="245">
        <v>1</v>
      </c>
      <c r="C95" s="245">
        <v>1</v>
      </c>
      <c r="D95" s="245">
        <v>1</v>
      </c>
      <c r="E95" s="245">
        <v>1</v>
      </c>
      <c r="F95" s="246"/>
      <c r="G95" s="246"/>
      <c r="H95" s="246"/>
      <c r="I95" s="245">
        <v>1</v>
      </c>
      <c r="J95" s="246"/>
      <c r="K95" s="246"/>
      <c r="L95" s="246"/>
      <c r="M95" s="33"/>
      <c r="N95" s="245">
        <v>1</v>
      </c>
      <c r="O95" s="245">
        <v>1</v>
      </c>
      <c r="P95" s="245">
        <v>1</v>
      </c>
      <c r="Q95" s="245">
        <v>1</v>
      </c>
      <c r="R95" s="246"/>
      <c r="S95" s="246"/>
      <c r="T95" s="246"/>
      <c r="U95" s="245">
        <v>1</v>
      </c>
      <c r="V95" s="246"/>
      <c r="W95" s="246"/>
      <c r="X95" s="246"/>
      <c r="Y95" s="33"/>
      <c r="Z95" s="245">
        <v>1</v>
      </c>
      <c r="AA95" s="245">
        <v>1</v>
      </c>
      <c r="AB95" s="245">
        <v>1</v>
      </c>
      <c r="AC95" s="245">
        <v>1</v>
      </c>
      <c r="AD95" s="246"/>
      <c r="AE95" s="246"/>
      <c r="AF95" s="246"/>
      <c r="AG95" s="245">
        <v>1</v>
      </c>
      <c r="AH95" s="246"/>
      <c r="AI95" s="246"/>
      <c r="AJ95" s="246"/>
    </row>
    <row r="96" spans="1:36" ht="15">
      <c r="A96" s="236" t="s">
        <v>26</v>
      </c>
      <c r="B96" s="245">
        <v>1</v>
      </c>
      <c r="C96" s="245">
        <v>1</v>
      </c>
      <c r="D96" s="245">
        <v>1</v>
      </c>
      <c r="E96" s="245">
        <v>1</v>
      </c>
      <c r="F96" s="246"/>
      <c r="G96" s="246"/>
      <c r="H96" s="246"/>
      <c r="I96" s="245">
        <v>1</v>
      </c>
      <c r="J96" s="246"/>
      <c r="K96" s="246"/>
      <c r="L96" s="246"/>
      <c r="M96" s="33"/>
      <c r="N96" s="245">
        <v>1</v>
      </c>
      <c r="O96" s="245">
        <v>1</v>
      </c>
      <c r="P96" s="245">
        <v>1</v>
      </c>
      <c r="Q96" s="245">
        <v>1</v>
      </c>
      <c r="R96" s="246"/>
      <c r="S96" s="246"/>
      <c r="T96" s="246"/>
      <c r="U96" s="245">
        <v>1</v>
      </c>
      <c r="V96" s="246"/>
      <c r="W96" s="246"/>
      <c r="X96" s="246"/>
      <c r="Y96" s="33"/>
      <c r="Z96" s="245">
        <v>1</v>
      </c>
      <c r="AA96" s="245">
        <v>1</v>
      </c>
      <c r="AB96" s="245">
        <v>1</v>
      </c>
      <c r="AC96" s="245">
        <v>1</v>
      </c>
      <c r="AD96" s="246"/>
      <c r="AE96" s="246"/>
      <c r="AF96" s="246"/>
      <c r="AG96" s="245">
        <v>1</v>
      </c>
      <c r="AH96" s="246"/>
      <c r="AI96" s="246"/>
      <c r="AJ96" s="246"/>
    </row>
    <row r="97" spans="1:36" ht="15">
      <c r="A97" s="236" t="s">
        <v>27</v>
      </c>
      <c r="B97" s="245">
        <v>3</v>
      </c>
      <c r="C97" s="245">
        <v>3</v>
      </c>
      <c r="D97" s="245">
        <v>3</v>
      </c>
      <c r="E97" s="245">
        <v>3</v>
      </c>
      <c r="F97" s="246"/>
      <c r="G97" s="246"/>
      <c r="H97" s="246"/>
      <c r="I97" s="245">
        <v>3</v>
      </c>
      <c r="J97" s="246"/>
      <c r="K97" s="246"/>
      <c r="L97" s="246"/>
      <c r="M97" s="33"/>
      <c r="N97" s="245">
        <v>1</v>
      </c>
      <c r="O97" s="245">
        <v>1</v>
      </c>
      <c r="P97" s="245">
        <v>1</v>
      </c>
      <c r="Q97" s="245">
        <v>1</v>
      </c>
      <c r="R97" s="246"/>
      <c r="S97" s="246"/>
      <c r="T97" s="246"/>
      <c r="U97" s="245">
        <v>1</v>
      </c>
      <c r="V97" s="246"/>
      <c r="W97" s="246"/>
      <c r="X97" s="246"/>
      <c r="Y97" s="33"/>
      <c r="Z97" s="245">
        <v>3</v>
      </c>
      <c r="AA97" s="245">
        <v>3</v>
      </c>
      <c r="AB97" s="245">
        <v>3</v>
      </c>
      <c r="AC97" s="245">
        <v>3</v>
      </c>
      <c r="AD97" s="246"/>
      <c r="AE97" s="246"/>
      <c r="AF97" s="246"/>
      <c r="AG97" s="245">
        <v>3</v>
      </c>
      <c r="AH97" s="246"/>
      <c r="AI97" s="246"/>
      <c r="AJ97" s="246"/>
    </row>
    <row r="98" spans="1:36" ht="15">
      <c r="A98" s="236" t="s">
        <v>28</v>
      </c>
      <c r="B98" s="245">
        <v>3</v>
      </c>
      <c r="C98" s="245">
        <v>3</v>
      </c>
      <c r="D98" s="245">
        <v>3</v>
      </c>
      <c r="E98" s="245">
        <v>3</v>
      </c>
      <c r="F98" s="246"/>
      <c r="G98" s="246"/>
      <c r="H98" s="246"/>
      <c r="I98" s="245">
        <v>3</v>
      </c>
      <c r="J98" s="246"/>
      <c r="K98" s="246"/>
      <c r="L98" s="246"/>
      <c r="M98" s="33"/>
      <c r="N98" s="245">
        <v>1</v>
      </c>
      <c r="O98" s="245">
        <v>1</v>
      </c>
      <c r="P98" s="245">
        <v>1</v>
      </c>
      <c r="Q98" s="245">
        <v>1</v>
      </c>
      <c r="R98" s="246"/>
      <c r="S98" s="246"/>
      <c r="T98" s="246"/>
      <c r="U98" s="245">
        <v>1</v>
      </c>
      <c r="V98" s="246"/>
      <c r="W98" s="246"/>
      <c r="X98" s="246"/>
      <c r="Y98" s="33"/>
      <c r="Z98" s="245">
        <v>3</v>
      </c>
      <c r="AA98" s="245">
        <v>3</v>
      </c>
      <c r="AB98" s="245">
        <v>3</v>
      </c>
      <c r="AC98" s="245">
        <v>3</v>
      </c>
      <c r="AD98" s="246"/>
      <c r="AE98" s="246"/>
      <c r="AF98" s="246"/>
      <c r="AG98" s="245">
        <v>3</v>
      </c>
      <c r="AH98" s="246"/>
      <c r="AI98" s="246"/>
      <c r="AJ98" s="246"/>
    </row>
    <row r="99" spans="1:36" ht="15">
      <c r="A99" s="236" t="s">
        <v>29</v>
      </c>
      <c r="B99" s="245">
        <v>1</v>
      </c>
      <c r="C99" s="245">
        <v>1</v>
      </c>
      <c r="D99" s="245">
        <v>1</v>
      </c>
      <c r="E99" s="245">
        <v>1</v>
      </c>
      <c r="F99" s="246"/>
      <c r="G99" s="246"/>
      <c r="H99" s="246"/>
      <c r="I99" s="245">
        <v>1</v>
      </c>
      <c r="J99" s="246"/>
      <c r="K99" s="246"/>
      <c r="L99" s="246"/>
      <c r="M99" s="33"/>
      <c r="N99" s="245">
        <v>1</v>
      </c>
      <c r="O99" s="245">
        <v>1</v>
      </c>
      <c r="P99" s="245">
        <v>1</v>
      </c>
      <c r="Q99" s="245">
        <v>1</v>
      </c>
      <c r="R99" s="246"/>
      <c r="S99" s="246"/>
      <c r="T99" s="246"/>
      <c r="U99" s="245">
        <v>1</v>
      </c>
      <c r="V99" s="246"/>
      <c r="W99" s="246"/>
      <c r="X99" s="246"/>
      <c r="Y99" s="33"/>
      <c r="Z99" s="245">
        <v>1</v>
      </c>
      <c r="AA99" s="245">
        <v>1</v>
      </c>
      <c r="AB99" s="245">
        <v>1</v>
      </c>
      <c r="AC99" s="245">
        <v>1</v>
      </c>
      <c r="AD99" s="246"/>
      <c r="AE99" s="246"/>
      <c r="AF99" s="246"/>
      <c r="AG99" s="245">
        <v>1</v>
      </c>
      <c r="AH99" s="246"/>
      <c r="AI99" s="246"/>
      <c r="AJ99" s="246"/>
    </row>
    <row r="100" spans="1:36" ht="15">
      <c r="A100" s="236" t="s">
        <v>30</v>
      </c>
      <c r="B100" s="245">
        <v>3</v>
      </c>
      <c r="C100" s="245">
        <v>3</v>
      </c>
      <c r="D100" s="245">
        <v>3</v>
      </c>
      <c r="E100" s="245">
        <v>3</v>
      </c>
      <c r="F100" s="246"/>
      <c r="G100" s="246"/>
      <c r="H100" s="246"/>
      <c r="I100" s="245">
        <v>3</v>
      </c>
      <c r="J100" s="246"/>
      <c r="K100" s="246"/>
      <c r="L100" s="246"/>
      <c r="M100" s="33"/>
      <c r="N100" s="245">
        <v>1</v>
      </c>
      <c r="O100" s="245">
        <v>1</v>
      </c>
      <c r="P100" s="245">
        <v>1</v>
      </c>
      <c r="Q100" s="245">
        <v>1</v>
      </c>
      <c r="R100" s="246"/>
      <c r="S100" s="246"/>
      <c r="T100" s="246"/>
      <c r="U100" s="245">
        <v>1</v>
      </c>
      <c r="V100" s="246"/>
      <c r="W100" s="246"/>
      <c r="X100" s="246"/>
      <c r="Y100" s="33"/>
      <c r="Z100" s="245">
        <v>3</v>
      </c>
      <c r="AA100" s="245">
        <v>3</v>
      </c>
      <c r="AB100" s="245">
        <v>3</v>
      </c>
      <c r="AC100" s="245">
        <v>3</v>
      </c>
      <c r="AD100" s="246"/>
      <c r="AE100" s="246"/>
      <c r="AF100" s="246"/>
      <c r="AG100" s="245">
        <v>3</v>
      </c>
      <c r="AH100" s="246"/>
      <c r="AI100" s="246"/>
      <c r="AJ100" s="246"/>
    </row>
    <row r="101" spans="1:36" ht="15">
      <c r="A101" s="236" t="s">
        <v>31</v>
      </c>
      <c r="B101" s="245">
        <v>3</v>
      </c>
      <c r="C101" s="245">
        <v>3</v>
      </c>
      <c r="D101" s="245">
        <v>3</v>
      </c>
      <c r="E101" s="245">
        <v>3</v>
      </c>
      <c r="F101" s="246"/>
      <c r="G101" s="246"/>
      <c r="H101" s="246"/>
      <c r="I101" s="245">
        <v>3</v>
      </c>
      <c r="J101" s="246"/>
      <c r="K101" s="246"/>
      <c r="L101" s="246"/>
      <c r="M101" s="33"/>
      <c r="N101" s="245">
        <v>1</v>
      </c>
      <c r="O101" s="245">
        <v>1</v>
      </c>
      <c r="P101" s="245">
        <v>1</v>
      </c>
      <c r="Q101" s="245">
        <v>1</v>
      </c>
      <c r="R101" s="246"/>
      <c r="S101" s="246"/>
      <c r="T101" s="246"/>
      <c r="U101" s="245">
        <v>1</v>
      </c>
      <c r="V101" s="246"/>
      <c r="W101" s="246"/>
      <c r="X101" s="246"/>
      <c r="Y101" s="33"/>
      <c r="Z101" s="245">
        <v>3</v>
      </c>
      <c r="AA101" s="245">
        <v>3</v>
      </c>
      <c r="AB101" s="245">
        <v>3</v>
      </c>
      <c r="AC101" s="245">
        <v>3</v>
      </c>
      <c r="AD101" s="246"/>
      <c r="AE101" s="246"/>
      <c r="AF101" s="246"/>
      <c r="AG101" s="245">
        <v>3</v>
      </c>
      <c r="AH101" s="246"/>
      <c r="AI101" s="246"/>
      <c r="AJ101" s="246"/>
    </row>
    <row r="102" spans="1:36" ht="15">
      <c r="A102" s="236" t="s">
        <v>32</v>
      </c>
      <c r="B102" s="245">
        <v>3</v>
      </c>
      <c r="C102" s="245">
        <v>3</v>
      </c>
      <c r="D102" s="245">
        <v>3</v>
      </c>
      <c r="E102" s="245">
        <v>3</v>
      </c>
      <c r="F102" s="246"/>
      <c r="G102" s="246"/>
      <c r="H102" s="246"/>
      <c r="I102" s="245">
        <v>3</v>
      </c>
      <c r="J102" s="246"/>
      <c r="K102" s="246"/>
      <c r="L102" s="246"/>
      <c r="M102" s="33"/>
      <c r="N102" s="245">
        <v>1</v>
      </c>
      <c r="O102" s="245">
        <v>1</v>
      </c>
      <c r="P102" s="245">
        <v>1</v>
      </c>
      <c r="Q102" s="245">
        <v>1</v>
      </c>
      <c r="R102" s="246"/>
      <c r="S102" s="246"/>
      <c r="T102" s="246"/>
      <c r="U102" s="245">
        <v>1</v>
      </c>
      <c r="V102" s="246"/>
      <c r="W102" s="246"/>
      <c r="X102" s="246"/>
      <c r="Y102" s="33"/>
      <c r="Z102" s="245">
        <v>3</v>
      </c>
      <c r="AA102" s="245">
        <v>3</v>
      </c>
      <c r="AB102" s="245">
        <v>3</v>
      </c>
      <c r="AC102" s="245">
        <v>3</v>
      </c>
      <c r="AD102" s="246"/>
      <c r="AE102" s="246"/>
      <c r="AF102" s="246"/>
      <c r="AG102" s="245">
        <v>3</v>
      </c>
      <c r="AH102" s="246"/>
      <c r="AI102" s="246"/>
      <c r="AJ102" s="246"/>
    </row>
    <row r="103" spans="1:36" ht="15">
      <c r="A103" s="236" t="s">
        <v>33</v>
      </c>
      <c r="B103" s="245">
        <v>30</v>
      </c>
      <c r="C103" s="245">
        <v>30</v>
      </c>
      <c r="D103" s="245">
        <v>30</v>
      </c>
      <c r="E103" s="245">
        <v>30</v>
      </c>
      <c r="F103" s="246"/>
      <c r="G103" s="246"/>
      <c r="H103" s="246"/>
      <c r="I103" s="245">
        <v>30</v>
      </c>
      <c r="J103" s="246"/>
      <c r="K103" s="246"/>
      <c r="L103" s="246"/>
      <c r="M103" s="33"/>
      <c r="N103" s="245">
        <v>1</v>
      </c>
      <c r="O103" s="245">
        <v>1</v>
      </c>
      <c r="P103" s="245">
        <v>1</v>
      </c>
      <c r="Q103" s="245">
        <v>1</v>
      </c>
      <c r="R103" s="246"/>
      <c r="S103" s="246"/>
      <c r="T103" s="246"/>
      <c r="U103" s="245">
        <v>1</v>
      </c>
      <c r="V103" s="246"/>
      <c r="W103" s="246"/>
      <c r="X103" s="246"/>
      <c r="Y103" s="33"/>
      <c r="Z103" s="245">
        <v>30</v>
      </c>
      <c r="AA103" s="245">
        <v>30</v>
      </c>
      <c r="AB103" s="245">
        <v>30</v>
      </c>
      <c r="AC103" s="245">
        <v>30</v>
      </c>
      <c r="AD103" s="246"/>
      <c r="AE103" s="246"/>
      <c r="AF103" s="246"/>
      <c r="AG103" s="245">
        <v>30</v>
      </c>
      <c r="AH103" s="246"/>
      <c r="AI103" s="246"/>
      <c r="AJ103" s="246"/>
    </row>
    <row r="104" spans="1:36" ht="15">
      <c r="A104" s="236" t="s">
        <v>34</v>
      </c>
      <c r="B104" s="245">
        <v>3</v>
      </c>
      <c r="C104" s="245">
        <v>3</v>
      </c>
      <c r="D104" s="245">
        <v>3</v>
      </c>
      <c r="E104" s="245">
        <v>3</v>
      </c>
      <c r="F104" s="246"/>
      <c r="G104" s="246"/>
      <c r="H104" s="246"/>
      <c r="I104" s="245">
        <v>3</v>
      </c>
      <c r="J104" s="246"/>
      <c r="K104" s="246"/>
      <c r="L104" s="246"/>
      <c r="M104" s="33"/>
      <c r="N104" s="245">
        <v>1</v>
      </c>
      <c r="O104" s="245">
        <v>1</v>
      </c>
      <c r="P104" s="245">
        <v>1</v>
      </c>
      <c r="Q104" s="245">
        <v>1</v>
      </c>
      <c r="R104" s="246"/>
      <c r="S104" s="246"/>
      <c r="T104" s="246"/>
      <c r="U104" s="245">
        <v>1</v>
      </c>
      <c r="V104" s="246"/>
      <c r="W104" s="246"/>
      <c r="X104" s="246"/>
      <c r="Y104" s="33"/>
      <c r="Z104" s="245">
        <v>3</v>
      </c>
      <c r="AA104" s="245">
        <v>3</v>
      </c>
      <c r="AB104" s="245">
        <v>3</v>
      </c>
      <c r="AC104" s="245">
        <v>3</v>
      </c>
      <c r="AD104" s="246"/>
      <c r="AE104" s="246"/>
      <c r="AF104" s="246"/>
      <c r="AG104" s="245">
        <v>3</v>
      </c>
      <c r="AH104" s="246"/>
      <c r="AI104" s="246"/>
      <c r="AJ104" s="246"/>
    </row>
    <row r="105" spans="1:36" ht="15">
      <c r="A105" s="239" t="s">
        <v>35</v>
      </c>
      <c r="B105" s="245">
        <v>3</v>
      </c>
      <c r="C105" s="245">
        <v>3</v>
      </c>
      <c r="D105" s="245">
        <v>3</v>
      </c>
      <c r="E105" s="245">
        <v>3</v>
      </c>
      <c r="F105" s="246"/>
      <c r="G105" s="246"/>
      <c r="H105" s="246"/>
      <c r="I105" s="245">
        <v>3</v>
      </c>
      <c r="J105" s="246"/>
      <c r="K105" s="246"/>
      <c r="L105" s="246"/>
      <c r="M105" s="33"/>
      <c r="N105" s="245">
        <v>1</v>
      </c>
      <c r="O105" s="245">
        <v>1</v>
      </c>
      <c r="P105" s="245">
        <v>1</v>
      </c>
      <c r="Q105" s="245">
        <v>1</v>
      </c>
      <c r="R105" s="246"/>
      <c r="S105" s="246"/>
      <c r="T105" s="246"/>
      <c r="U105" s="245">
        <v>1</v>
      </c>
      <c r="V105" s="246"/>
      <c r="W105" s="246"/>
      <c r="X105" s="246"/>
      <c r="Y105" s="33"/>
      <c r="Z105" s="245">
        <v>3</v>
      </c>
      <c r="AA105" s="245">
        <v>3</v>
      </c>
      <c r="AB105" s="245">
        <v>3</v>
      </c>
      <c r="AC105" s="245">
        <v>3</v>
      </c>
      <c r="AD105" s="246"/>
      <c r="AE105" s="246"/>
      <c r="AF105" s="246"/>
      <c r="AG105" s="245">
        <v>3</v>
      </c>
      <c r="AH105" s="246"/>
      <c r="AI105" s="246"/>
      <c r="AJ105" s="246"/>
    </row>
    <row r="106" spans="1:36" ht="15">
      <c r="A106" s="238" t="s">
        <v>36</v>
      </c>
      <c r="B106" s="246"/>
      <c r="C106" s="246"/>
      <c r="D106" s="246"/>
      <c r="E106" s="246"/>
      <c r="F106" s="246"/>
      <c r="G106" s="246"/>
      <c r="H106" s="246"/>
      <c r="I106" s="246"/>
      <c r="J106" s="246"/>
      <c r="K106" s="246"/>
      <c r="L106" s="246"/>
      <c r="M106" s="33"/>
      <c r="N106" s="246"/>
      <c r="O106" s="246"/>
      <c r="P106" s="246"/>
      <c r="Q106" s="246"/>
      <c r="R106" s="246"/>
      <c r="S106" s="246"/>
      <c r="T106" s="246"/>
      <c r="U106" s="246"/>
      <c r="V106" s="246"/>
      <c r="W106" s="246"/>
      <c r="X106" s="246"/>
      <c r="Y106" s="33"/>
      <c r="Z106" s="246"/>
      <c r="AA106" s="246"/>
      <c r="AB106" s="246"/>
      <c r="AC106" s="246"/>
      <c r="AD106" s="246"/>
      <c r="AE106" s="246"/>
      <c r="AF106" s="246"/>
      <c r="AG106" s="246"/>
      <c r="AH106" s="246"/>
      <c r="AI106" s="246"/>
      <c r="AJ106" s="246"/>
    </row>
    <row r="107" spans="1:36" ht="15">
      <c r="A107" s="240" t="s">
        <v>120</v>
      </c>
      <c r="B107" s="245">
        <v>1</v>
      </c>
      <c r="C107" s="245">
        <v>1</v>
      </c>
      <c r="D107" s="245">
        <v>1</v>
      </c>
      <c r="E107" s="245">
        <v>1</v>
      </c>
      <c r="F107" s="246"/>
      <c r="G107" s="246"/>
      <c r="H107" s="246"/>
      <c r="I107" s="245">
        <v>1</v>
      </c>
      <c r="J107" s="246"/>
      <c r="K107" s="246"/>
      <c r="L107" s="246"/>
      <c r="M107" s="33"/>
      <c r="N107" s="245">
        <v>1</v>
      </c>
      <c r="O107" s="245">
        <v>1</v>
      </c>
      <c r="P107" s="245">
        <v>1</v>
      </c>
      <c r="Q107" s="245">
        <v>1</v>
      </c>
      <c r="R107" s="246"/>
      <c r="S107" s="246"/>
      <c r="T107" s="246"/>
      <c r="U107" s="245">
        <v>1</v>
      </c>
      <c r="V107" s="246"/>
      <c r="W107" s="246"/>
      <c r="X107" s="246"/>
      <c r="Y107" s="33"/>
      <c r="Z107" s="245">
        <v>1</v>
      </c>
      <c r="AA107" s="245">
        <v>1</v>
      </c>
      <c r="AB107" s="245">
        <v>1</v>
      </c>
      <c r="AC107" s="245">
        <v>1</v>
      </c>
      <c r="AD107" s="246"/>
      <c r="AE107" s="246"/>
      <c r="AF107" s="246"/>
      <c r="AG107" s="245">
        <v>1</v>
      </c>
      <c r="AH107" s="246"/>
      <c r="AI107" s="246"/>
      <c r="AJ107" s="246"/>
    </row>
    <row r="108" spans="1:36" ht="15">
      <c r="A108" s="236" t="s">
        <v>119</v>
      </c>
      <c r="B108" s="245">
        <v>1</v>
      </c>
      <c r="C108" s="245">
        <v>1</v>
      </c>
      <c r="D108" s="245">
        <v>1</v>
      </c>
      <c r="E108" s="245">
        <v>1</v>
      </c>
      <c r="F108" s="246"/>
      <c r="G108" s="246"/>
      <c r="H108" s="246"/>
      <c r="I108" s="245">
        <v>1</v>
      </c>
      <c r="J108" s="246"/>
      <c r="K108" s="246"/>
      <c r="L108" s="246"/>
      <c r="M108" s="33"/>
      <c r="N108" s="245">
        <v>1</v>
      </c>
      <c r="O108" s="245">
        <v>1</v>
      </c>
      <c r="P108" s="245">
        <v>1</v>
      </c>
      <c r="Q108" s="245">
        <v>1</v>
      </c>
      <c r="R108" s="246"/>
      <c r="S108" s="246"/>
      <c r="T108" s="246"/>
      <c r="U108" s="245">
        <v>1</v>
      </c>
      <c r="V108" s="246"/>
      <c r="W108" s="246"/>
      <c r="X108" s="246"/>
      <c r="Y108" s="33"/>
      <c r="Z108" s="245">
        <v>1</v>
      </c>
      <c r="AA108" s="245">
        <v>1</v>
      </c>
      <c r="AB108" s="245">
        <v>1</v>
      </c>
      <c r="AC108" s="245">
        <v>1</v>
      </c>
      <c r="AD108" s="246"/>
      <c r="AE108" s="246"/>
      <c r="AF108" s="246"/>
      <c r="AG108" s="245">
        <v>1</v>
      </c>
      <c r="AH108" s="246"/>
      <c r="AI108" s="246"/>
      <c r="AJ108" s="246"/>
    </row>
    <row r="109" spans="1:36" ht="15">
      <c r="A109" s="236" t="s">
        <v>38</v>
      </c>
      <c r="B109" s="245">
        <v>30</v>
      </c>
      <c r="C109" s="245">
        <v>30</v>
      </c>
      <c r="D109" s="245">
        <v>30</v>
      </c>
      <c r="E109" s="245">
        <v>30</v>
      </c>
      <c r="F109" s="246"/>
      <c r="G109" s="246"/>
      <c r="H109" s="246"/>
      <c r="I109" s="245">
        <v>30</v>
      </c>
      <c r="J109" s="246"/>
      <c r="K109" s="246"/>
      <c r="L109" s="246"/>
      <c r="M109" s="33"/>
      <c r="N109" s="245">
        <v>1</v>
      </c>
      <c r="O109" s="245">
        <v>1</v>
      </c>
      <c r="P109" s="245">
        <v>1</v>
      </c>
      <c r="Q109" s="245">
        <v>1</v>
      </c>
      <c r="R109" s="246"/>
      <c r="S109" s="246"/>
      <c r="T109" s="246"/>
      <c r="U109" s="245">
        <v>1</v>
      </c>
      <c r="V109" s="246"/>
      <c r="W109" s="246"/>
      <c r="X109" s="246"/>
      <c r="Y109" s="33"/>
      <c r="Z109" s="245">
        <v>30</v>
      </c>
      <c r="AA109" s="245">
        <v>30</v>
      </c>
      <c r="AB109" s="245">
        <v>30</v>
      </c>
      <c r="AC109" s="245">
        <v>30</v>
      </c>
      <c r="AD109" s="246"/>
      <c r="AE109" s="246"/>
      <c r="AF109" s="246"/>
      <c r="AG109" s="245">
        <v>30</v>
      </c>
      <c r="AH109" s="246"/>
      <c r="AI109" s="246"/>
      <c r="AJ109" s="246"/>
    </row>
    <row r="110" spans="1:36" ht="15">
      <c r="A110" s="236" t="s">
        <v>39</v>
      </c>
      <c r="B110" s="245">
        <v>3</v>
      </c>
      <c r="C110" s="245">
        <v>3</v>
      </c>
      <c r="D110" s="245">
        <v>3</v>
      </c>
      <c r="E110" s="245">
        <v>3</v>
      </c>
      <c r="F110" s="246"/>
      <c r="G110" s="246"/>
      <c r="H110" s="246"/>
      <c r="I110" s="245">
        <v>3</v>
      </c>
      <c r="J110" s="246"/>
      <c r="K110" s="246"/>
      <c r="L110" s="246"/>
      <c r="M110" s="33"/>
      <c r="N110" s="245">
        <v>1</v>
      </c>
      <c r="O110" s="245">
        <v>1</v>
      </c>
      <c r="P110" s="245">
        <v>1</v>
      </c>
      <c r="Q110" s="245">
        <v>1</v>
      </c>
      <c r="R110" s="246"/>
      <c r="S110" s="246"/>
      <c r="T110" s="246"/>
      <c r="U110" s="245">
        <v>1</v>
      </c>
      <c r="V110" s="246"/>
      <c r="W110" s="246"/>
      <c r="X110" s="246"/>
      <c r="Y110" s="33"/>
      <c r="Z110" s="245">
        <v>3</v>
      </c>
      <c r="AA110" s="245">
        <v>3</v>
      </c>
      <c r="AB110" s="245">
        <v>3</v>
      </c>
      <c r="AC110" s="245">
        <v>3</v>
      </c>
      <c r="AD110" s="246"/>
      <c r="AE110" s="246"/>
      <c r="AF110" s="246"/>
      <c r="AG110" s="245">
        <v>3</v>
      </c>
      <c r="AH110" s="246"/>
      <c r="AI110" s="246"/>
      <c r="AJ110" s="246"/>
    </row>
    <row r="111" spans="1:36" ht="15">
      <c r="A111" s="236" t="s">
        <v>40</v>
      </c>
      <c r="B111" s="245">
        <v>1</v>
      </c>
      <c r="C111" s="245">
        <v>1</v>
      </c>
      <c r="D111" s="245">
        <v>1</v>
      </c>
      <c r="E111" s="245">
        <v>1</v>
      </c>
      <c r="F111" s="246"/>
      <c r="G111" s="246"/>
      <c r="H111" s="246"/>
      <c r="I111" s="245">
        <v>1</v>
      </c>
      <c r="J111" s="246"/>
      <c r="K111" s="246"/>
      <c r="L111" s="246"/>
      <c r="M111" s="33"/>
      <c r="N111" s="245">
        <v>1</v>
      </c>
      <c r="O111" s="245">
        <v>1</v>
      </c>
      <c r="P111" s="245">
        <v>1</v>
      </c>
      <c r="Q111" s="245">
        <v>1</v>
      </c>
      <c r="R111" s="246"/>
      <c r="S111" s="246"/>
      <c r="T111" s="246"/>
      <c r="U111" s="245">
        <v>1</v>
      </c>
      <c r="V111" s="246"/>
      <c r="W111" s="246"/>
      <c r="X111" s="246"/>
      <c r="Y111" s="33"/>
      <c r="Z111" s="245">
        <v>1</v>
      </c>
      <c r="AA111" s="245">
        <v>1</v>
      </c>
      <c r="AB111" s="245">
        <v>1</v>
      </c>
      <c r="AC111" s="245">
        <v>1</v>
      </c>
      <c r="AD111" s="246"/>
      <c r="AE111" s="246"/>
      <c r="AF111" s="246"/>
      <c r="AG111" s="245">
        <v>1</v>
      </c>
      <c r="AH111" s="246"/>
      <c r="AI111" s="246"/>
      <c r="AJ111" s="246"/>
    </row>
    <row r="112" spans="1:36" ht="15">
      <c r="A112" s="240" t="s">
        <v>121</v>
      </c>
      <c r="B112" s="245">
        <v>3</v>
      </c>
      <c r="C112" s="245">
        <v>3</v>
      </c>
      <c r="D112" s="245">
        <v>3</v>
      </c>
      <c r="E112" s="245">
        <v>3</v>
      </c>
      <c r="F112" s="246"/>
      <c r="G112" s="246"/>
      <c r="H112" s="246"/>
      <c r="I112" s="245">
        <v>3</v>
      </c>
      <c r="J112" s="246"/>
      <c r="K112" s="246"/>
      <c r="L112" s="246"/>
      <c r="M112" s="33"/>
      <c r="N112" s="245">
        <v>1</v>
      </c>
      <c r="O112" s="245">
        <v>1</v>
      </c>
      <c r="P112" s="245">
        <v>1</v>
      </c>
      <c r="Q112" s="245">
        <v>1</v>
      </c>
      <c r="R112" s="246"/>
      <c r="S112" s="246"/>
      <c r="T112" s="246"/>
      <c r="U112" s="245">
        <v>1</v>
      </c>
      <c r="V112" s="246"/>
      <c r="W112" s="246"/>
      <c r="X112" s="246"/>
      <c r="Y112" s="33"/>
      <c r="Z112" s="245">
        <v>3</v>
      </c>
      <c r="AA112" s="245">
        <v>3</v>
      </c>
      <c r="AB112" s="245">
        <v>3</v>
      </c>
      <c r="AC112" s="245">
        <v>3</v>
      </c>
      <c r="AD112" s="246"/>
      <c r="AE112" s="246"/>
      <c r="AF112" s="246"/>
      <c r="AG112" s="245">
        <v>3</v>
      </c>
      <c r="AH112" s="246"/>
      <c r="AI112" s="246"/>
      <c r="AJ112" s="246"/>
    </row>
    <row r="113" spans="1:36" ht="15">
      <c r="A113" s="236" t="s">
        <v>118</v>
      </c>
      <c r="B113" s="245">
        <v>1</v>
      </c>
      <c r="C113" s="245">
        <v>1</v>
      </c>
      <c r="D113" s="245">
        <v>1</v>
      </c>
      <c r="E113" s="245">
        <v>1</v>
      </c>
      <c r="F113" s="246"/>
      <c r="G113" s="246"/>
      <c r="H113" s="246"/>
      <c r="I113" s="245">
        <v>1</v>
      </c>
      <c r="J113" s="246"/>
      <c r="K113" s="246"/>
      <c r="L113" s="246"/>
      <c r="M113" s="33"/>
      <c r="N113" s="245">
        <v>1</v>
      </c>
      <c r="O113" s="245">
        <v>1</v>
      </c>
      <c r="P113" s="245">
        <v>0.3</v>
      </c>
      <c r="Q113" s="245">
        <v>1</v>
      </c>
      <c r="R113" s="246"/>
      <c r="S113" s="246"/>
      <c r="T113" s="246"/>
      <c r="U113" s="245">
        <v>1</v>
      </c>
      <c r="V113" s="246"/>
      <c r="W113" s="246"/>
      <c r="X113" s="246"/>
      <c r="Y113" s="33"/>
      <c r="Z113" s="245">
        <v>1</v>
      </c>
      <c r="AA113" s="245">
        <v>1</v>
      </c>
      <c r="AB113" s="245">
        <v>1</v>
      </c>
      <c r="AC113" s="245">
        <v>1</v>
      </c>
      <c r="AD113" s="246"/>
      <c r="AE113" s="246"/>
      <c r="AF113" s="246"/>
      <c r="AG113" s="245">
        <v>1</v>
      </c>
      <c r="AH113" s="246"/>
      <c r="AI113" s="246"/>
      <c r="AJ113" s="246"/>
    </row>
    <row r="114" spans="1:36" ht="15">
      <c r="A114" s="239" t="s">
        <v>35</v>
      </c>
      <c r="B114" s="245">
        <v>10</v>
      </c>
      <c r="C114" s="245">
        <v>10</v>
      </c>
      <c r="D114" s="245">
        <v>10</v>
      </c>
      <c r="E114" s="245">
        <v>10</v>
      </c>
      <c r="F114" s="246"/>
      <c r="G114" s="246"/>
      <c r="H114" s="246"/>
      <c r="I114" s="245">
        <v>10</v>
      </c>
      <c r="J114" s="246"/>
      <c r="K114" s="246"/>
      <c r="L114" s="246"/>
      <c r="M114" s="33"/>
      <c r="N114" s="245">
        <v>1</v>
      </c>
      <c r="O114" s="245">
        <v>1</v>
      </c>
      <c r="P114" s="245">
        <v>1</v>
      </c>
      <c r="Q114" s="245">
        <v>1</v>
      </c>
      <c r="R114" s="246"/>
      <c r="S114" s="246"/>
      <c r="T114" s="246"/>
      <c r="U114" s="245">
        <v>1</v>
      </c>
      <c r="V114" s="246"/>
      <c r="W114" s="246"/>
      <c r="X114" s="246"/>
      <c r="Y114" s="33"/>
      <c r="Z114" s="245">
        <v>10</v>
      </c>
      <c r="AA114" s="245">
        <v>10</v>
      </c>
      <c r="AB114" s="245">
        <v>10</v>
      </c>
      <c r="AC114" s="245">
        <v>10</v>
      </c>
      <c r="AD114" s="246"/>
      <c r="AE114" s="246"/>
      <c r="AF114" s="246"/>
      <c r="AG114" s="245">
        <v>10</v>
      </c>
      <c r="AH114" s="246"/>
      <c r="AI114" s="246"/>
      <c r="AJ114" s="246"/>
    </row>
    <row r="115" spans="1:36" ht="15">
      <c r="A115" s="238" t="s">
        <v>42</v>
      </c>
      <c r="B115" s="246"/>
      <c r="C115" s="246"/>
      <c r="D115" s="246"/>
      <c r="E115" s="246"/>
      <c r="F115" s="246"/>
      <c r="G115" s="246"/>
      <c r="H115" s="246"/>
      <c r="I115" s="246"/>
      <c r="J115" s="246"/>
      <c r="K115" s="246"/>
      <c r="L115" s="246"/>
      <c r="M115" s="33"/>
      <c r="N115" s="246"/>
      <c r="O115" s="246"/>
      <c r="P115" s="246"/>
      <c r="Q115" s="246"/>
      <c r="R115" s="246"/>
      <c r="S115" s="246"/>
      <c r="T115" s="246"/>
      <c r="U115" s="246"/>
      <c r="V115" s="246"/>
      <c r="W115" s="246"/>
      <c r="X115" s="246"/>
      <c r="Y115" s="33"/>
      <c r="Z115" s="246"/>
      <c r="AA115" s="246"/>
      <c r="AB115" s="246"/>
      <c r="AC115" s="246"/>
      <c r="AD115" s="246"/>
      <c r="AE115" s="246"/>
      <c r="AF115" s="246"/>
      <c r="AG115" s="246"/>
      <c r="AH115" s="246"/>
      <c r="AI115" s="246"/>
      <c r="AJ115" s="246"/>
    </row>
    <row r="116" spans="1:36" ht="15">
      <c r="A116" s="236" t="s">
        <v>43</v>
      </c>
      <c r="B116" s="245">
        <v>10</v>
      </c>
      <c r="C116" s="245">
        <v>10</v>
      </c>
      <c r="D116" s="245">
        <v>10</v>
      </c>
      <c r="E116" s="245">
        <v>10</v>
      </c>
      <c r="F116" s="246"/>
      <c r="G116" s="246"/>
      <c r="H116" s="246"/>
      <c r="I116" s="245">
        <v>10</v>
      </c>
      <c r="J116" s="246"/>
      <c r="K116" s="246"/>
      <c r="L116" s="246"/>
      <c r="M116" s="33"/>
      <c r="N116" s="245">
        <v>1</v>
      </c>
      <c r="O116" s="245">
        <v>1</v>
      </c>
      <c r="P116" s="245">
        <v>1</v>
      </c>
      <c r="Q116" s="245">
        <v>1</v>
      </c>
      <c r="R116" s="246"/>
      <c r="S116" s="246"/>
      <c r="T116" s="246"/>
      <c r="U116" s="245">
        <v>1</v>
      </c>
      <c r="V116" s="246"/>
      <c r="W116" s="246"/>
      <c r="X116" s="246"/>
      <c r="Y116" s="33"/>
      <c r="Z116" s="245">
        <v>10</v>
      </c>
      <c r="AA116" s="245">
        <v>10</v>
      </c>
      <c r="AB116" s="245">
        <v>10</v>
      </c>
      <c r="AC116" s="245">
        <v>10</v>
      </c>
      <c r="AD116" s="246"/>
      <c r="AE116" s="246"/>
      <c r="AF116" s="246"/>
      <c r="AG116" s="245">
        <v>10</v>
      </c>
      <c r="AH116" s="246"/>
      <c r="AI116" s="246"/>
      <c r="AJ116" s="246"/>
    </row>
    <row r="117" spans="1:36" ht="15">
      <c r="A117" s="236" t="s">
        <v>44</v>
      </c>
      <c r="B117" s="245">
        <v>3</v>
      </c>
      <c r="C117" s="245">
        <v>3</v>
      </c>
      <c r="D117" s="245">
        <v>3</v>
      </c>
      <c r="E117" s="245">
        <v>3</v>
      </c>
      <c r="F117" s="246"/>
      <c r="G117" s="246"/>
      <c r="H117" s="246"/>
      <c r="I117" s="245">
        <v>3</v>
      </c>
      <c r="J117" s="246"/>
      <c r="K117" s="246"/>
      <c r="L117" s="246"/>
      <c r="M117" s="33"/>
      <c r="N117" s="245">
        <v>1</v>
      </c>
      <c r="O117" s="245">
        <v>1</v>
      </c>
      <c r="P117" s="245">
        <v>1</v>
      </c>
      <c r="Q117" s="245">
        <v>1</v>
      </c>
      <c r="R117" s="246"/>
      <c r="S117" s="246"/>
      <c r="T117" s="246"/>
      <c r="U117" s="245">
        <v>1</v>
      </c>
      <c r="V117" s="246"/>
      <c r="W117" s="246"/>
      <c r="X117" s="246"/>
      <c r="Y117" s="33"/>
      <c r="Z117" s="245">
        <v>3</v>
      </c>
      <c r="AA117" s="245">
        <v>3</v>
      </c>
      <c r="AB117" s="245">
        <v>3</v>
      </c>
      <c r="AC117" s="245">
        <v>3</v>
      </c>
      <c r="AD117" s="246"/>
      <c r="AE117" s="246"/>
      <c r="AF117" s="246"/>
      <c r="AG117" s="245">
        <v>3</v>
      </c>
      <c r="AH117" s="246"/>
      <c r="AI117" s="246"/>
      <c r="AJ117" s="246"/>
    </row>
    <row r="118" spans="1:36" ht="15">
      <c r="A118" s="236" t="s">
        <v>45</v>
      </c>
      <c r="B118" s="245">
        <v>1</v>
      </c>
      <c r="C118" s="245">
        <v>1</v>
      </c>
      <c r="D118" s="245">
        <v>1</v>
      </c>
      <c r="E118" s="245">
        <v>1</v>
      </c>
      <c r="F118" s="246"/>
      <c r="G118" s="246"/>
      <c r="H118" s="246"/>
      <c r="I118" s="245">
        <v>1</v>
      </c>
      <c r="J118" s="246"/>
      <c r="K118" s="246"/>
      <c r="L118" s="246"/>
      <c r="M118" s="33"/>
      <c r="N118" s="245">
        <v>1</v>
      </c>
      <c r="O118" s="245">
        <v>1</v>
      </c>
      <c r="P118" s="245">
        <v>1</v>
      </c>
      <c r="Q118" s="245">
        <v>1</v>
      </c>
      <c r="R118" s="246"/>
      <c r="S118" s="246"/>
      <c r="T118" s="246"/>
      <c r="U118" s="245">
        <v>1</v>
      </c>
      <c r="V118" s="246"/>
      <c r="W118" s="246"/>
      <c r="X118" s="246"/>
      <c r="Y118" s="33"/>
      <c r="Z118" s="245">
        <v>1</v>
      </c>
      <c r="AA118" s="245">
        <v>1</v>
      </c>
      <c r="AB118" s="245">
        <v>1</v>
      </c>
      <c r="AC118" s="245">
        <v>1</v>
      </c>
      <c r="AD118" s="246"/>
      <c r="AE118" s="246"/>
      <c r="AF118" s="246"/>
      <c r="AG118" s="245">
        <v>1</v>
      </c>
      <c r="AH118" s="246"/>
      <c r="AI118" s="246"/>
      <c r="AJ118" s="246"/>
    </row>
    <row r="119" spans="1:36" ht="15">
      <c r="A119" s="236" t="s">
        <v>46</v>
      </c>
      <c r="B119" s="245">
        <v>1</v>
      </c>
      <c r="C119" s="245">
        <v>1</v>
      </c>
      <c r="D119" s="245">
        <v>1</v>
      </c>
      <c r="E119" s="245">
        <v>1</v>
      </c>
      <c r="F119" s="246"/>
      <c r="G119" s="246"/>
      <c r="H119" s="246"/>
      <c r="I119" s="245">
        <v>1</v>
      </c>
      <c r="J119" s="246"/>
      <c r="K119" s="246"/>
      <c r="L119" s="246"/>
      <c r="M119" s="33"/>
      <c r="N119" s="245">
        <v>1</v>
      </c>
      <c r="O119" s="245">
        <v>1</v>
      </c>
      <c r="P119" s="245">
        <v>1</v>
      </c>
      <c r="Q119" s="245">
        <v>1</v>
      </c>
      <c r="R119" s="246"/>
      <c r="S119" s="246"/>
      <c r="T119" s="246"/>
      <c r="U119" s="245">
        <v>1</v>
      </c>
      <c r="V119" s="246"/>
      <c r="W119" s="246"/>
      <c r="X119" s="246"/>
      <c r="Y119" s="33"/>
      <c r="Z119" s="245">
        <v>1</v>
      </c>
      <c r="AA119" s="245">
        <v>1</v>
      </c>
      <c r="AB119" s="245">
        <v>1</v>
      </c>
      <c r="AC119" s="245">
        <v>1</v>
      </c>
      <c r="AD119" s="246"/>
      <c r="AE119" s="246"/>
      <c r="AF119" s="246"/>
      <c r="AG119" s="245">
        <v>1</v>
      </c>
      <c r="AH119" s="246"/>
      <c r="AI119" s="246"/>
      <c r="AJ119" s="246"/>
    </row>
    <row r="120" spans="1:36" ht="15">
      <c r="A120" s="239" t="s">
        <v>35</v>
      </c>
      <c r="B120" s="245">
        <v>3</v>
      </c>
      <c r="C120" s="245">
        <v>3</v>
      </c>
      <c r="D120" s="245">
        <v>3</v>
      </c>
      <c r="E120" s="245">
        <v>3</v>
      </c>
      <c r="F120" s="246"/>
      <c r="G120" s="246"/>
      <c r="H120" s="246"/>
      <c r="I120" s="245">
        <v>3</v>
      </c>
      <c r="J120" s="246"/>
      <c r="K120" s="246"/>
      <c r="L120" s="246"/>
      <c r="M120" s="33"/>
      <c r="N120" s="245">
        <v>1</v>
      </c>
      <c r="O120" s="245">
        <v>1</v>
      </c>
      <c r="P120" s="245">
        <v>1</v>
      </c>
      <c r="Q120" s="245">
        <v>1</v>
      </c>
      <c r="R120" s="246"/>
      <c r="S120" s="246"/>
      <c r="T120" s="246"/>
      <c r="U120" s="245">
        <v>1</v>
      </c>
      <c r="V120" s="246"/>
      <c r="W120" s="246"/>
      <c r="X120" s="246"/>
      <c r="Y120" s="33"/>
      <c r="Z120" s="245">
        <v>3</v>
      </c>
      <c r="AA120" s="245">
        <v>3</v>
      </c>
      <c r="AB120" s="245">
        <v>3</v>
      </c>
      <c r="AC120" s="245">
        <v>3</v>
      </c>
      <c r="AD120" s="246"/>
      <c r="AE120" s="246"/>
      <c r="AF120" s="246"/>
      <c r="AG120" s="245">
        <v>3</v>
      </c>
      <c r="AH120" s="246"/>
      <c r="AI120" s="246"/>
      <c r="AJ120" s="246"/>
    </row>
    <row r="121" spans="1:36" ht="15">
      <c r="A121" s="238" t="s">
        <v>47</v>
      </c>
      <c r="B121" s="246"/>
      <c r="C121" s="246"/>
      <c r="D121" s="246"/>
      <c r="E121" s="246"/>
      <c r="F121" s="246"/>
      <c r="G121" s="246"/>
      <c r="H121" s="246"/>
      <c r="I121" s="246"/>
      <c r="J121" s="246"/>
      <c r="K121" s="246"/>
      <c r="L121" s="246"/>
      <c r="M121" s="33"/>
      <c r="N121" s="246"/>
      <c r="O121" s="246"/>
      <c r="P121" s="246"/>
      <c r="Q121" s="246"/>
      <c r="R121" s="246"/>
      <c r="S121" s="246"/>
      <c r="T121" s="246"/>
      <c r="U121" s="246"/>
      <c r="V121" s="246"/>
      <c r="W121" s="246"/>
      <c r="X121" s="246"/>
      <c r="Y121" s="33"/>
      <c r="Z121" s="246"/>
      <c r="AA121" s="246"/>
      <c r="AB121" s="246"/>
      <c r="AC121" s="246"/>
      <c r="AD121" s="246"/>
      <c r="AE121" s="246"/>
      <c r="AF121" s="246"/>
      <c r="AG121" s="246"/>
      <c r="AH121" s="246"/>
      <c r="AI121" s="246"/>
      <c r="AJ121" s="246"/>
    </row>
    <row r="122" spans="1:36" ht="15">
      <c r="A122" s="236" t="s">
        <v>48</v>
      </c>
      <c r="B122" s="245">
        <v>3</v>
      </c>
      <c r="C122" s="245">
        <v>3</v>
      </c>
      <c r="D122" s="245">
        <v>3</v>
      </c>
      <c r="E122" s="245">
        <v>3</v>
      </c>
      <c r="F122" s="246"/>
      <c r="G122" s="246"/>
      <c r="H122" s="246"/>
      <c r="I122" s="245">
        <v>3</v>
      </c>
      <c r="J122" s="246"/>
      <c r="K122" s="246"/>
      <c r="L122" s="246"/>
      <c r="M122" s="33"/>
      <c r="N122" s="245">
        <v>1</v>
      </c>
      <c r="O122" s="245">
        <v>1</v>
      </c>
      <c r="P122" s="245">
        <v>1</v>
      </c>
      <c r="Q122" s="245">
        <v>1</v>
      </c>
      <c r="R122" s="246"/>
      <c r="S122" s="246"/>
      <c r="T122" s="246"/>
      <c r="U122" s="245">
        <v>1</v>
      </c>
      <c r="V122" s="246"/>
      <c r="W122" s="246"/>
      <c r="X122" s="246"/>
      <c r="Y122" s="33"/>
      <c r="Z122" s="245">
        <v>3</v>
      </c>
      <c r="AA122" s="245">
        <v>3</v>
      </c>
      <c r="AB122" s="245">
        <v>3</v>
      </c>
      <c r="AC122" s="245">
        <v>3</v>
      </c>
      <c r="AD122" s="246"/>
      <c r="AE122" s="246"/>
      <c r="AF122" s="246"/>
      <c r="AG122" s="245">
        <v>3</v>
      </c>
      <c r="AH122" s="246"/>
      <c r="AI122" s="246"/>
      <c r="AJ122" s="246"/>
    </row>
    <row r="123" spans="1:36" ht="15">
      <c r="A123" s="241" t="s">
        <v>49</v>
      </c>
      <c r="B123" s="245">
        <v>3</v>
      </c>
      <c r="C123" s="245">
        <v>3</v>
      </c>
      <c r="D123" s="245">
        <v>3</v>
      </c>
      <c r="E123" s="245">
        <v>3</v>
      </c>
      <c r="F123" s="246"/>
      <c r="G123" s="246"/>
      <c r="H123" s="246"/>
      <c r="I123" s="245">
        <v>3</v>
      </c>
      <c r="J123" s="246"/>
      <c r="K123" s="246"/>
      <c r="L123" s="246"/>
      <c r="M123" s="33"/>
      <c r="N123" s="245">
        <v>1</v>
      </c>
      <c r="O123" s="245">
        <v>1</v>
      </c>
      <c r="P123" s="245">
        <v>1</v>
      </c>
      <c r="Q123" s="245">
        <v>1</v>
      </c>
      <c r="R123" s="246"/>
      <c r="S123" s="246"/>
      <c r="T123" s="246"/>
      <c r="U123" s="245">
        <v>1</v>
      </c>
      <c r="V123" s="246"/>
      <c r="W123" s="246"/>
      <c r="X123" s="246"/>
      <c r="Y123" s="33"/>
      <c r="Z123" s="245">
        <v>3</v>
      </c>
      <c r="AA123" s="245">
        <v>3</v>
      </c>
      <c r="AB123" s="245">
        <v>3</v>
      </c>
      <c r="AC123" s="245">
        <v>3</v>
      </c>
      <c r="AD123" s="246"/>
      <c r="AE123" s="246"/>
      <c r="AF123" s="246"/>
      <c r="AG123" s="245">
        <v>3</v>
      </c>
      <c r="AH123" s="246"/>
      <c r="AI123" s="246"/>
      <c r="AJ123" s="246"/>
    </row>
    <row r="124" spans="1:36" ht="15">
      <c r="A124" s="236" t="s">
        <v>50</v>
      </c>
      <c r="B124" s="245">
        <v>10</v>
      </c>
      <c r="C124" s="245">
        <v>10</v>
      </c>
      <c r="D124" s="245">
        <v>10</v>
      </c>
      <c r="E124" s="245">
        <v>10</v>
      </c>
      <c r="F124" s="246"/>
      <c r="G124" s="246"/>
      <c r="H124" s="246"/>
      <c r="I124" s="245">
        <v>10</v>
      </c>
      <c r="J124" s="246"/>
      <c r="K124" s="246"/>
      <c r="L124" s="246"/>
      <c r="M124" s="33"/>
      <c r="N124" s="245">
        <v>1</v>
      </c>
      <c r="O124" s="245">
        <v>1</v>
      </c>
      <c r="P124" s="245">
        <v>1</v>
      </c>
      <c r="Q124" s="245">
        <v>1</v>
      </c>
      <c r="R124" s="246"/>
      <c r="S124" s="246"/>
      <c r="T124" s="246"/>
      <c r="U124" s="245">
        <v>1</v>
      </c>
      <c r="V124" s="246"/>
      <c r="W124" s="246"/>
      <c r="X124" s="246"/>
      <c r="Y124" s="33"/>
      <c r="Z124" s="245">
        <v>10</v>
      </c>
      <c r="AA124" s="245">
        <v>10</v>
      </c>
      <c r="AB124" s="245">
        <v>10</v>
      </c>
      <c r="AC124" s="245">
        <v>10</v>
      </c>
      <c r="AD124" s="246"/>
      <c r="AE124" s="246"/>
      <c r="AF124" s="246"/>
      <c r="AG124" s="245">
        <v>10</v>
      </c>
      <c r="AH124" s="246"/>
      <c r="AI124" s="246"/>
      <c r="AJ124" s="246"/>
    </row>
    <row r="125" spans="1:36" ht="15">
      <c r="A125" s="236" t="s">
        <v>51</v>
      </c>
      <c r="B125" s="245">
        <v>1</v>
      </c>
      <c r="C125" s="245">
        <v>1</v>
      </c>
      <c r="D125" s="245">
        <v>1</v>
      </c>
      <c r="E125" s="245">
        <v>1</v>
      </c>
      <c r="F125" s="246"/>
      <c r="G125" s="246"/>
      <c r="H125" s="246"/>
      <c r="I125" s="245">
        <v>1</v>
      </c>
      <c r="J125" s="246"/>
      <c r="K125" s="246"/>
      <c r="L125" s="246"/>
      <c r="M125" s="33"/>
      <c r="N125" s="245">
        <v>1</v>
      </c>
      <c r="O125" s="245">
        <v>1</v>
      </c>
      <c r="P125" s="245">
        <v>1</v>
      </c>
      <c r="Q125" s="245">
        <v>1</v>
      </c>
      <c r="R125" s="246"/>
      <c r="S125" s="246"/>
      <c r="T125" s="246"/>
      <c r="U125" s="245">
        <v>1</v>
      </c>
      <c r="V125" s="246"/>
      <c r="W125" s="246"/>
      <c r="X125" s="246"/>
      <c r="Y125" s="33"/>
      <c r="Z125" s="245">
        <v>1</v>
      </c>
      <c r="AA125" s="245">
        <v>1</v>
      </c>
      <c r="AB125" s="245">
        <v>1</v>
      </c>
      <c r="AC125" s="245">
        <v>1</v>
      </c>
      <c r="AD125" s="246"/>
      <c r="AE125" s="246"/>
      <c r="AF125" s="246"/>
      <c r="AG125" s="245">
        <v>1</v>
      </c>
      <c r="AH125" s="246"/>
      <c r="AI125" s="246"/>
      <c r="AJ125" s="246"/>
    </row>
    <row r="126" ht="12.75">
      <c r="A126" s="124"/>
    </row>
    <row r="127" ht="15">
      <c r="A127" s="278"/>
    </row>
    <row r="128" ht="12.75">
      <c r="A128" s="92"/>
    </row>
    <row r="129" ht="12.75">
      <c r="A129" s="92"/>
    </row>
    <row r="130" ht="12.75">
      <c r="A130" s="92"/>
    </row>
    <row r="131" ht="12.75">
      <c r="A131" s="92"/>
    </row>
    <row r="132" ht="12.75">
      <c r="A132" s="92"/>
    </row>
    <row r="133" ht="12.75">
      <c r="A133" s="92"/>
    </row>
    <row r="134" ht="12.75">
      <c r="A134" s="92"/>
    </row>
    <row r="135" ht="12.75">
      <c r="A135" s="92"/>
    </row>
    <row r="136" ht="12.75">
      <c r="A136" s="92"/>
    </row>
    <row r="137" ht="12.75">
      <c r="A137" s="92"/>
    </row>
    <row r="138" ht="12.75">
      <c r="A138" s="92"/>
    </row>
    <row r="139" ht="12.75">
      <c r="A139" s="92"/>
    </row>
    <row r="140" ht="12.75">
      <c r="A140" s="92"/>
    </row>
    <row r="141" ht="15">
      <c r="A141" s="278"/>
    </row>
    <row r="142" ht="12.75">
      <c r="A142" s="16"/>
    </row>
    <row r="143" ht="12.75">
      <c r="A143" s="92"/>
    </row>
    <row r="144" ht="12.75">
      <c r="A144" s="92"/>
    </row>
    <row r="145" ht="12.75">
      <c r="A145" s="92"/>
    </row>
    <row r="146" ht="12.75">
      <c r="A146" s="92"/>
    </row>
    <row r="147" ht="12.75">
      <c r="A147" s="92"/>
    </row>
    <row r="148" ht="12.75">
      <c r="A148" s="92"/>
    </row>
    <row r="149" ht="12.75">
      <c r="A149" s="92"/>
    </row>
    <row r="150" ht="12.75">
      <c r="A150" s="92"/>
    </row>
    <row r="151" ht="12.75">
      <c r="A151" s="92"/>
    </row>
    <row r="152" ht="12.75">
      <c r="A152" s="92"/>
    </row>
    <row r="153" ht="12.75">
      <c r="A153" s="92"/>
    </row>
    <row r="154" ht="12.75">
      <c r="A154" s="92"/>
    </row>
    <row r="155" ht="12.75">
      <c r="A155" s="92"/>
    </row>
    <row r="156" ht="12.75">
      <c r="A156" s="16"/>
    </row>
    <row r="157" ht="12.75">
      <c r="A157" s="279"/>
    </row>
    <row r="158" ht="12.75">
      <c r="A158" s="92"/>
    </row>
    <row r="159" ht="12.75">
      <c r="A159" s="92"/>
    </row>
    <row r="160" ht="12.75">
      <c r="A160" s="92"/>
    </row>
    <row r="161" ht="12.75">
      <c r="A161" s="92"/>
    </row>
    <row r="162" ht="12.75">
      <c r="A162" s="279"/>
    </row>
    <row r="163" ht="12.75">
      <c r="A163" s="92"/>
    </row>
    <row r="164" ht="12.75">
      <c r="A164" s="92"/>
    </row>
    <row r="165" ht="12.75">
      <c r="A165" s="16"/>
    </row>
    <row r="166" ht="12.75">
      <c r="A166" s="92"/>
    </row>
    <row r="167" ht="12.75">
      <c r="A167" s="92"/>
    </row>
    <row r="168" ht="12.75">
      <c r="A168" s="92"/>
    </row>
    <row r="169" ht="12.75">
      <c r="A169" s="92"/>
    </row>
    <row r="170" ht="12.75">
      <c r="A170" s="92"/>
    </row>
    <row r="171" ht="12.75">
      <c r="A171" s="16"/>
    </row>
    <row r="172" ht="12.75">
      <c r="A172" s="92"/>
    </row>
    <row r="173" ht="12.75">
      <c r="A173" s="280"/>
    </row>
    <row r="174" ht="12.75">
      <c r="A174" s="92"/>
    </row>
    <row r="175" ht="12.75">
      <c r="A175" s="92"/>
    </row>
    <row r="176" ht="12.75">
      <c r="A176" s="124"/>
    </row>
    <row r="177" ht="12.75">
      <c r="A177" s="124"/>
    </row>
    <row r="178" ht="12.75">
      <c r="A178" s="124"/>
    </row>
    <row r="179" ht="12.75">
      <c r="A179" s="124"/>
    </row>
    <row r="180" ht="12.75">
      <c r="A180" s="124"/>
    </row>
    <row r="181" ht="12.75">
      <c r="A181" s="124"/>
    </row>
    <row r="182" ht="12.75">
      <c r="A182" s="124"/>
    </row>
    <row r="183" ht="12.75">
      <c r="A183" s="124"/>
    </row>
    <row r="184" ht="12.75">
      <c r="A184" s="124"/>
    </row>
    <row r="185" ht="12.75">
      <c r="A185" s="124"/>
    </row>
    <row r="186" ht="12.75">
      <c r="A186" s="124"/>
    </row>
    <row r="187" ht="12.75">
      <c r="A187" s="124"/>
    </row>
    <row r="188" ht="12.75">
      <c r="A188" s="124"/>
    </row>
    <row r="189" ht="12.75">
      <c r="A189" s="124"/>
    </row>
  </sheetData>
  <mergeCells count="18">
    <mergeCell ref="Z9:AJ9"/>
    <mergeCell ref="B1:L1"/>
    <mergeCell ref="AL1:AV1"/>
    <mergeCell ref="AX1:BI1"/>
    <mergeCell ref="BK1:BW1"/>
    <mergeCell ref="AX2:BI4"/>
    <mergeCell ref="BL4:BS4"/>
    <mergeCell ref="AX5:BI7"/>
    <mergeCell ref="BL5:BU5"/>
    <mergeCell ref="BK9:BZ9"/>
    <mergeCell ref="AL68:AV68"/>
    <mergeCell ref="AX68:BI68"/>
    <mergeCell ref="A8:L8"/>
    <mergeCell ref="AX8:BI8"/>
    <mergeCell ref="AL9:AV9"/>
    <mergeCell ref="AX9:BI9"/>
    <mergeCell ref="B9:L9"/>
    <mergeCell ref="N9:X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H121"/>
  <sheetViews>
    <sheetView zoomScale="80" zoomScaleNormal="80" workbookViewId="0" topLeftCell="Q1">
      <selection activeCell="E6" sqref="E6"/>
    </sheetView>
  </sheetViews>
  <sheetFormatPr defaultColWidth="9.140625" defaultRowHeight="12.75"/>
  <cols>
    <col min="1" max="1" width="26.57421875" style="0" customWidth="1"/>
    <col min="2" max="2" width="6.421875" style="0" customWidth="1"/>
    <col min="48" max="48" width="1.7109375" style="0" customWidth="1"/>
    <col min="50" max="50" width="12.28125" style="0" customWidth="1"/>
  </cols>
  <sheetData>
    <row r="1" spans="2:60" ht="12.75">
      <c r="B1" s="281" t="s">
        <v>142</v>
      </c>
      <c r="AV1" s="282"/>
      <c r="BH1" s="282"/>
    </row>
    <row r="2" spans="2:60" ht="12.75">
      <c r="B2" s="283" t="s">
        <v>143</v>
      </c>
      <c r="C2" s="283" t="s">
        <v>143</v>
      </c>
      <c r="D2" s="283" t="s">
        <v>143</v>
      </c>
      <c r="E2" s="283" t="s">
        <v>143</v>
      </c>
      <c r="F2" s="283" t="s">
        <v>143</v>
      </c>
      <c r="G2" s="281" t="s">
        <v>144</v>
      </c>
      <c r="K2" s="281" t="s">
        <v>145</v>
      </c>
      <c r="Q2" s="281" t="s">
        <v>146</v>
      </c>
      <c r="X2" s="281" t="s">
        <v>147</v>
      </c>
      <c r="AA2" s="281" t="s">
        <v>148</v>
      </c>
      <c r="AC2" s="281" t="s">
        <v>148</v>
      </c>
      <c r="AE2" s="281" t="s">
        <v>149</v>
      </c>
      <c r="AG2" s="281" t="s">
        <v>150</v>
      </c>
      <c r="AV2" s="282"/>
      <c r="AW2" s="281" t="s">
        <v>151</v>
      </c>
      <c r="BH2" s="282"/>
    </row>
    <row r="3" spans="1:60" ht="12.75">
      <c r="A3" s="281" t="s">
        <v>152</v>
      </c>
      <c r="B3" s="282" t="s">
        <v>153</v>
      </c>
      <c r="D3" s="282"/>
      <c r="E3" s="282"/>
      <c r="F3" s="282"/>
      <c r="G3" s="282"/>
      <c r="H3" s="282"/>
      <c r="I3" s="282"/>
      <c r="K3" s="281" t="s">
        <v>154</v>
      </c>
      <c r="X3" s="281" t="s">
        <v>88</v>
      </c>
      <c r="Y3" s="281" t="s">
        <v>155</v>
      </c>
      <c r="AA3" s="281" t="s">
        <v>156</v>
      </c>
      <c r="AC3" s="281" t="s">
        <v>157</v>
      </c>
      <c r="AE3" s="281" t="s">
        <v>157</v>
      </c>
      <c r="AG3" s="283" t="s">
        <v>158</v>
      </c>
      <c r="AH3" s="283" t="s">
        <v>158</v>
      </c>
      <c r="AI3" s="283" t="s">
        <v>158</v>
      </c>
      <c r="AJ3" s="283" t="s">
        <v>158</v>
      </c>
      <c r="AK3" s="283" t="s">
        <v>158</v>
      </c>
      <c r="AL3" s="283" t="s">
        <v>158</v>
      </c>
      <c r="AM3" s="283" t="s">
        <v>158</v>
      </c>
      <c r="AN3" s="283" t="s">
        <v>158</v>
      </c>
      <c r="AO3" s="283" t="s">
        <v>158</v>
      </c>
      <c r="AP3" s="283" t="s">
        <v>158</v>
      </c>
      <c r="AQ3" s="283" t="s">
        <v>158</v>
      </c>
      <c r="AR3" s="283" t="s">
        <v>158</v>
      </c>
      <c r="AS3" s="283" t="s">
        <v>158</v>
      </c>
      <c r="AT3" s="283" t="s">
        <v>158</v>
      </c>
      <c r="AU3" s="283" t="s">
        <v>158</v>
      </c>
      <c r="AV3" s="282"/>
      <c r="AW3" s="283" t="s">
        <v>158</v>
      </c>
      <c r="AX3" s="283" t="s">
        <v>158</v>
      </c>
      <c r="AY3" s="283" t="s">
        <v>158</v>
      </c>
      <c r="AZ3" s="283" t="s">
        <v>158</v>
      </c>
      <c r="BA3" s="283" t="s">
        <v>158</v>
      </c>
      <c r="BB3" s="283" t="s">
        <v>158</v>
      </c>
      <c r="BC3" s="283" t="s">
        <v>158</v>
      </c>
      <c r="BD3" s="283" t="s">
        <v>158</v>
      </c>
      <c r="BE3" s="283" t="s">
        <v>158</v>
      </c>
      <c r="BF3" s="283" t="s">
        <v>158</v>
      </c>
      <c r="BH3" s="282"/>
    </row>
    <row r="4" spans="2:60" ht="12.75">
      <c r="B4" s="285" t="s">
        <v>158</v>
      </c>
      <c r="C4" s="285" t="s">
        <v>158</v>
      </c>
      <c r="D4" s="285" t="s">
        <v>158</v>
      </c>
      <c r="E4" s="285" t="s">
        <v>158</v>
      </c>
      <c r="F4" s="285" t="s">
        <v>158</v>
      </c>
      <c r="G4" s="285" t="s">
        <v>158</v>
      </c>
      <c r="H4" s="285" t="s">
        <v>158</v>
      </c>
      <c r="I4" s="285" t="s">
        <v>158</v>
      </c>
      <c r="L4" s="284" t="s">
        <v>159</v>
      </c>
      <c r="M4" s="284" t="s">
        <v>160</v>
      </c>
      <c r="N4" s="284" t="s">
        <v>161</v>
      </c>
      <c r="O4" s="284" t="s">
        <v>162</v>
      </c>
      <c r="P4" s="284" t="s">
        <v>163</v>
      </c>
      <c r="Q4" s="281" t="s">
        <v>164</v>
      </c>
      <c r="V4" s="282"/>
      <c r="W4" s="281" t="s">
        <v>165</v>
      </c>
      <c r="X4" s="283" t="s">
        <v>158</v>
      </c>
      <c r="Y4" s="283" t="s">
        <v>158</v>
      </c>
      <c r="Z4" s="283" t="s">
        <v>158</v>
      </c>
      <c r="AA4" s="283" t="s">
        <v>158</v>
      </c>
      <c r="AB4" s="283" t="s">
        <v>158</v>
      </c>
      <c r="AC4" s="283" t="s">
        <v>158</v>
      </c>
      <c r="AD4" s="283" t="s">
        <v>158</v>
      </c>
      <c r="AE4" s="283" t="s">
        <v>158</v>
      </c>
      <c r="AG4" s="281" t="s">
        <v>166</v>
      </c>
      <c r="AH4" s="281" t="s">
        <v>167</v>
      </c>
      <c r="AI4" s="281" t="s">
        <v>168</v>
      </c>
      <c r="AJ4" s="281" t="s">
        <v>169</v>
      </c>
      <c r="AK4" s="281" t="s">
        <v>170</v>
      </c>
      <c r="AL4" s="281" t="s">
        <v>171</v>
      </c>
      <c r="AM4" s="281" t="s">
        <v>172</v>
      </c>
      <c r="AN4" s="281" t="s">
        <v>173</v>
      </c>
      <c r="AO4" s="281" t="s">
        <v>174</v>
      </c>
      <c r="AP4" s="281" t="s">
        <v>175</v>
      </c>
      <c r="AQ4" s="281" t="s">
        <v>176</v>
      </c>
      <c r="AR4" s="281" t="s">
        <v>177</v>
      </c>
      <c r="AS4" s="281" t="s">
        <v>178</v>
      </c>
      <c r="AT4" s="281" t="s">
        <v>179</v>
      </c>
      <c r="AU4" s="281" t="s">
        <v>180</v>
      </c>
      <c r="AV4" s="282"/>
      <c r="AW4" s="284" t="s">
        <v>181</v>
      </c>
      <c r="AX4" s="284" t="s">
        <v>182</v>
      </c>
      <c r="AY4" s="284" t="s">
        <v>183</v>
      </c>
      <c r="AZ4" s="284" t="s">
        <v>59</v>
      </c>
      <c r="BA4" s="284" t="s">
        <v>184</v>
      </c>
      <c r="BB4" s="284" t="s">
        <v>71</v>
      </c>
      <c r="BC4" s="284" t="s">
        <v>185</v>
      </c>
      <c r="BD4" s="284" t="s">
        <v>186</v>
      </c>
      <c r="BE4" s="284" t="s">
        <v>187</v>
      </c>
      <c r="BF4" s="284" t="s">
        <v>188</v>
      </c>
      <c r="BH4" s="282"/>
    </row>
    <row r="5" spans="1:60" ht="12.75">
      <c r="A5" s="281" t="s">
        <v>189</v>
      </c>
      <c r="E5" s="282">
        <v>1000</v>
      </c>
      <c r="F5" s="281" t="s">
        <v>190</v>
      </c>
      <c r="I5" s="282">
        <v>130</v>
      </c>
      <c r="K5" s="283" t="s">
        <v>158</v>
      </c>
      <c r="L5" s="283" t="s">
        <v>158</v>
      </c>
      <c r="M5" s="283" t="s">
        <v>158</v>
      </c>
      <c r="N5" s="283" t="s">
        <v>158</v>
      </c>
      <c r="O5" s="283" t="s">
        <v>158</v>
      </c>
      <c r="P5" s="283" t="s">
        <v>158</v>
      </c>
      <c r="V5" s="285" t="s">
        <v>158</v>
      </c>
      <c r="X5" s="281" t="s">
        <v>191</v>
      </c>
      <c r="Y5" s="282">
        <v>100</v>
      </c>
      <c r="AA5" s="286">
        <f aca="true" t="shared" si="0" ref="AA5:AA16">(Y5/Y$18)*100</f>
        <v>8.333333333333332</v>
      </c>
      <c r="AB5" s="286"/>
      <c r="AC5" s="286">
        <f aca="true" t="shared" si="1" ref="AC5:AC16">AA5*(T$8+V$8)/100</f>
        <v>0</v>
      </c>
      <c r="AD5" s="286"/>
      <c r="AE5" s="286">
        <f>AC5*365.25/31</f>
        <v>0</v>
      </c>
      <c r="AH5" s="281" t="s">
        <v>192</v>
      </c>
      <c r="AI5" s="281" t="s">
        <v>193</v>
      </c>
      <c r="AJ5" s="281" t="s">
        <v>194</v>
      </c>
      <c r="AK5" s="281" t="s">
        <v>194</v>
      </c>
      <c r="AL5" s="281" t="s">
        <v>194</v>
      </c>
      <c r="AM5" s="281" t="s">
        <v>194</v>
      </c>
      <c r="AN5" s="281" t="s">
        <v>194</v>
      </c>
      <c r="AO5" s="281" t="s">
        <v>194</v>
      </c>
      <c r="AP5" s="281" t="s">
        <v>194</v>
      </c>
      <c r="AQ5" s="281" t="s">
        <v>194</v>
      </c>
      <c r="AR5" s="281" t="s">
        <v>194</v>
      </c>
      <c r="AS5" s="281" t="s">
        <v>194</v>
      </c>
      <c r="AT5" s="281" t="s">
        <v>194</v>
      </c>
      <c r="AU5" s="281" t="s">
        <v>194</v>
      </c>
      <c r="AV5" s="282"/>
      <c r="AX5" s="284" t="s">
        <v>195</v>
      </c>
      <c r="AY5" s="284" t="s">
        <v>196</v>
      </c>
      <c r="BA5" s="284" t="s">
        <v>197</v>
      </c>
      <c r="BB5" s="284" t="s">
        <v>196</v>
      </c>
      <c r="BD5" s="284" t="s">
        <v>198</v>
      </c>
      <c r="BF5" s="284" t="s">
        <v>199</v>
      </c>
      <c r="BH5" s="282"/>
    </row>
    <row r="6" spans="5:60" ht="12.75">
      <c r="E6" s="285" t="s">
        <v>158</v>
      </c>
      <c r="I6" s="285" t="s">
        <v>158</v>
      </c>
      <c r="K6" s="284" t="s">
        <v>200</v>
      </c>
      <c r="L6" s="282"/>
      <c r="M6" s="282">
        <v>1</v>
      </c>
      <c r="N6" s="282"/>
      <c r="O6" s="282"/>
      <c r="P6" s="282"/>
      <c r="Q6" s="284" t="s">
        <v>201</v>
      </c>
      <c r="V6" s="282"/>
      <c r="W6" s="281" t="s">
        <v>195</v>
      </c>
      <c r="X6" s="281" t="s">
        <v>202</v>
      </c>
      <c r="Y6" s="282">
        <v>100</v>
      </c>
      <c r="AA6" s="286">
        <f t="shared" si="0"/>
        <v>8.333333333333332</v>
      </c>
      <c r="AB6" s="286"/>
      <c r="AC6" s="286">
        <f t="shared" si="1"/>
        <v>0</v>
      </c>
      <c r="AD6" s="286"/>
      <c r="AE6" s="286">
        <f>AC6*365.25/28.25</f>
        <v>0</v>
      </c>
      <c r="AG6" s="283" t="s">
        <v>158</v>
      </c>
      <c r="AH6" s="283" t="s">
        <v>158</v>
      </c>
      <c r="AI6" s="283" t="s">
        <v>158</v>
      </c>
      <c r="AJ6" s="283" t="s">
        <v>158</v>
      </c>
      <c r="AK6" s="283" t="s">
        <v>158</v>
      </c>
      <c r="AL6" s="283" t="s">
        <v>158</v>
      </c>
      <c r="AM6" s="283" t="s">
        <v>158</v>
      </c>
      <c r="AN6" s="283" t="s">
        <v>158</v>
      </c>
      <c r="AO6" s="283" t="s">
        <v>158</v>
      </c>
      <c r="AP6" s="283" t="s">
        <v>158</v>
      </c>
      <c r="AQ6" s="283" t="s">
        <v>158</v>
      </c>
      <c r="AR6" s="283" t="s">
        <v>158</v>
      </c>
      <c r="AS6" s="283" t="s">
        <v>158</v>
      </c>
      <c r="AT6" s="283" t="s">
        <v>158</v>
      </c>
      <c r="AU6" s="283" t="s">
        <v>158</v>
      </c>
      <c r="AV6" s="282"/>
      <c r="AW6" s="283" t="s">
        <v>158</v>
      </c>
      <c r="AX6" s="283" t="s">
        <v>158</v>
      </c>
      <c r="AY6" s="283" t="s">
        <v>158</v>
      </c>
      <c r="AZ6" s="283" t="s">
        <v>158</v>
      </c>
      <c r="BA6" s="283" t="s">
        <v>158</v>
      </c>
      <c r="BB6" s="283" t="s">
        <v>158</v>
      </c>
      <c r="BC6" s="283" t="s">
        <v>158</v>
      </c>
      <c r="BD6" s="283" t="s">
        <v>158</v>
      </c>
      <c r="BE6" s="283" t="s">
        <v>158</v>
      </c>
      <c r="BF6" s="283" t="s">
        <v>158</v>
      </c>
      <c r="BH6" s="282"/>
    </row>
    <row r="7" spans="1:60" ht="12.75">
      <c r="A7" s="281" t="s">
        <v>203</v>
      </c>
      <c r="D7" s="282"/>
      <c r="E7" s="281" t="s">
        <v>204</v>
      </c>
      <c r="I7" s="282"/>
      <c r="K7" s="284" t="s">
        <v>205</v>
      </c>
      <c r="L7" s="282"/>
      <c r="M7" s="282">
        <v>1</v>
      </c>
      <c r="N7" s="282"/>
      <c r="O7" s="282"/>
      <c r="P7" s="282"/>
      <c r="V7" s="285" t="s">
        <v>158</v>
      </c>
      <c r="X7" s="281" t="s">
        <v>206</v>
      </c>
      <c r="Y7" s="282">
        <v>100</v>
      </c>
      <c r="AA7" s="286">
        <f t="shared" si="0"/>
        <v>8.333333333333332</v>
      </c>
      <c r="AB7" s="286"/>
      <c r="AC7" s="286">
        <f t="shared" si="1"/>
        <v>0</v>
      </c>
      <c r="AD7" s="286"/>
      <c r="AE7" s="286">
        <f>AC7*365.25/31</f>
        <v>0</v>
      </c>
      <c r="AG7" s="281" t="s">
        <v>207</v>
      </c>
      <c r="AH7" s="287">
        <f aca="true" t="shared" si="2" ref="AH7:AH17">B16*E$5*86400/(L16*R$77)</f>
        <v>0</v>
      </c>
      <c r="AI7" s="287">
        <f aca="true" t="shared" si="3" ref="AI7:AI17">AH7*365.25*(T$8+V$8)/100000</f>
        <v>0</v>
      </c>
      <c r="AJ7" s="287">
        <f>$AI7*$AA$5/100</f>
        <v>0</v>
      </c>
      <c r="AK7" s="287">
        <f aca="true" t="shared" si="4" ref="AK7:AK17">$AI7*$AA$6/100</f>
        <v>0</v>
      </c>
      <c r="AL7" s="287">
        <f aca="true" t="shared" si="5" ref="AL7:AL17">$AI7*$AA$7/100</f>
        <v>0</v>
      </c>
      <c r="AM7" s="287">
        <f aca="true" t="shared" si="6" ref="AM7:AM17">$AI7*$AA$8/100</f>
        <v>0</v>
      </c>
      <c r="AN7" s="287">
        <f aca="true" t="shared" si="7" ref="AN7:AN17">$AI7*$AA$9/100</f>
        <v>0</v>
      </c>
      <c r="AO7" s="287">
        <f aca="true" t="shared" si="8" ref="AO7:AO17">$AI7*$AA$10/100</f>
        <v>0</v>
      </c>
      <c r="AP7" s="287">
        <f aca="true" t="shared" si="9" ref="AP7:AP17">$AI7*$AA$11/100</f>
        <v>0</v>
      </c>
      <c r="AQ7" s="287">
        <f aca="true" t="shared" si="10" ref="AQ7:AQ17">$AI7*$AA$12/100</f>
        <v>0</v>
      </c>
      <c r="AR7" s="287">
        <f aca="true" t="shared" si="11" ref="AR7:AR17">$AI7*$AA$13/100</f>
        <v>0</v>
      </c>
      <c r="AS7" s="287">
        <f aca="true" t="shared" si="12" ref="AS7:AS17">$AI7*$AA$14/100</f>
        <v>0</v>
      </c>
      <c r="AT7" s="287">
        <f aca="true" t="shared" si="13" ref="AT7:AT17">$AI7*$AA$15/100</f>
        <v>0</v>
      </c>
      <c r="AU7" s="287">
        <f aca="true" t="shared" si="14" ref="AU7:AU17">$AI7*$AA$16/100</f>
        <v>0</v>
      </c>
      <c r="AV7" s="282"/>
      <c r="AW7" s="281" t="s">
        <v>208</v>
      </c>
      <c r="BH7" s="282"/>
    </row>
    <row r="8" spans="4:60" ht="12.75">
      <c r="D8" s="285" t="s">
        <v>158</v>
      </c>
      <c r="I8" s="285" t="s">
        <v>158</v>
      </c>
      <c r="K8" s="284" t="s">
        <v>209</v>
      </c>
      <c r="L8" s="282"/>
      <c r="M8" s="282">
        <v>1</v>
      </c>
      <c r="N8" s="282"/>
      <c r="O8" s="282"/>
      <c r="P8" s="282"/>
      <c r="Q8" s="281" t="s">
        <v>210</v>
      </c>
      <c r="T8" s="287">
        <f>(V4*L28*1000+V6*1000000)/((E5/R77)*31560000)</f>
        <v>0</v>
      </c>
      <c r="U8" s="288" t="s">
        <v>211</v>
      </c>
      <c r="V8" s="289"/>
      <c r="W8" s="281" t="s">
        <v>212</v>
      </c>
      <c r="X8" s="281" t="s">
        <v>213</v>
      </c>
      <c r="Y8" s="282">
        <v>100</v>
      </c>
      <c r="AA8" s="286">
        <f t="shared" si="0"/>
        <v>8.333333333333332</v>
      </c>
      <c r="AB8" s="286"/>
      <c r="AC8" s="286">
        <f t="shared" si="1"/>
        <v>0</v>
      </c>
      <c r="AD8" s="286"/>
      <c r="AE8" s="286">
        <f>AC8*365.25/30</f>
        <v>0</v>
      </c>
      <c r="AG8" s="281" t="s">
        <v>214</v>
      </c>
      <c r="AH8" s="287">
        <f t="shared" si="2"/>
        <v>3598428.2337762243</v>
      </c>
      <c r="AI8" s="287">
        <f t="shared" si="3"/>
        <v>0</v>
      </c>
      <c r="AJ8" s="287">
        <f aca="true" t="shared" si="15" ref="AJ8:AJ17">AI8*$AA$5/100</f>
        <v>0</v>
      </c>
      <c r="AK8" s="287">
        <f t="shared" si="4"/>
        <v>0</v>
      </c>
      <c r="AL8" s="287">
        <f t="shared" si="5"/>
        <v>0</v>
      </c>
      <c r="AM8" s="287">
        <f t="shared" si="6"/>
        <v>0</v>
      </c>
      <c r="AN8" s="287">
        <f t="shared" si="7"/>
        <v>0</v>
      </c>
      <c r="AO8" s="287">
        <f t="shared" si="8"/>
        <v>0</v>
      </c>
      <c r="AP8" s="287">
        <f t="shared" si="9"/>
        <v>0</v>
      </c>
      <c r="AQ8" s="287">
        <f t="shared" si="10"/>
        <v>0</v>
      </c>
      <c r="AR8" s="287">
        <f t="shared" si="11"/>
        <v>0</v>
      </c>
      <c r="AS8" s="287">
        <f t="shared" si="12"/>
        <v>0</v>
      </c>
      <c r="AT8" s="287">
        <f t="shared" si="13"/>
        <v>0</v>
      </c>
      <c r="AU8" s="287">
        <f t="shared" si="14"/>
        <v>0</v>
      </c>
      <c r="AV8" s="282"/>
      <c r="AW8" s="281" t="s">
        <v>215</v>
      </c>
      <c r="AX8" s="287">
        <v>90010</v>
      </c>
      <c r="AY8" s="287">
        <v>68000</v>
      </c>
      <c r="AZ8" s="287">
        <v>630</v>
      </c>
      <c r="BF8" s="287">
        <v>21400</v>
      </c>
      <c r="BH8" s="282"/>
    </row>
    <row r="9" spans="1:60" ht="12.75">
      <c r="A9" s="281" t="s">
        <v>216</v>
      </c>
      <c r="C9" s="282"/>
      <c r="D9" s="281" t="s">
        <v>217</v>
      </c>
      <c r="F9" s="282"/>
      <c r="G9" s="281" t="s">
        <v>218</v>
      </c>
      <c r="I9" s="282">
        <v>1.2</v>
      </c>
      <c r="K9" s="284" t="s">
        <v>219</v>
      </c>
      <c r="L9" s="282"/>
      <c r="M9" s="282">
        <v>1</v>
      </c>
      <c r="N9" s="282"/>
      <c r="O9" s="282"/>
      <c r="P9" s="282"/>
      <c r="T9" s="290" t="s">
        <v>158</v>
      </c>
      <c r="U9" s="291"/>
      <c r="V9" s="292" t="s">
        <v>158</v>
      </c>
      <c r="X9" s="281" t="s">
        <v>220</v>
      </c>
      <c r="Y9" s="282">
        <v>100</v>
      </c>
      <c r="AA9" s="286">
        <f t="shared" si="0"/>
        <v>8.333333333333332</v>
      </c>
      <c r="AB9" s="286"/>
      <c r="AC9" s="286">
        <f t="shared" si="1"/>
        <v>0</v>
      </c>
      <c r="AD9" s="286"/>
      <c r="AE9" s="286">
        <f>AC9*365.25/31</f>
        <v>0</v>
      </c>
      <c r="AG9" s="281" t="s">
        <v>221</v>
      </c>
      <c r="AH9" s="287">
        <f t="shared" si="2"/>
        <v>0</v>
      </c>
      <c r="AI9" s="287">
        <f t="shared" si="3"/>
        <v>0</v>
      </c>
      <c r="AJ9" s="287">
        <f t="shared" si="15"/>
        <v>0</v>
      </c>
      <c r="AK9" s="287">
        <f t="shared" si="4"/>
        <v>0</v>
      </c>
      <c r="AL9" s="287">
        <f t="shared" si="5"/>
        <v>0</v>
      </c>
      <c r="AM9" s="287">
        <f t="shared" si="6"/>
        <v>0</v>
      </c>
      <c r="AN9" s="287">
        <f t="shared" si="7"/>
        <v>0</v>
      </c>
      <c r="AO9" s="287">
        <f t="shared" si="8"/>
        <v>0</v>
      </c>
      <c r="AP9" s="287">
        <f t="shared" si="9"/>
        <v>0</v>
      </c>
      <c r="AQ9" s="287">
        <f t="shared" si="10"/>
        <v>0</v>
      </c>
      <c r="AR9" s="287">
        <f t="shared" si="11"/>
        <v>0</v>
      </c>
      <c r="AS9" s="287">
        <f t="shared" si="12"/>
        <v>0</v>
      </c>
      <c r="AT9" s="287">
        <f t="shared" si="13"/>
        <v>0</v>
      </c>
      <c r="AU9" s="287">
        <f t="shared" si="14"/>
        <v>0</v>
      </c>
      <c r="AV9" s="282"/>
      <c r="AW9" s="281" t="s">
        <v>222</v>
      </c>
      <c r="BH9" s="282"/>
    </row>
    <row r="10" spans="3:60" ht="12.75">
      <c r="C10" s="285" t="s">
        <v>158</v>
      </c>
      <c r="F10" s="285" t="s">
        <v>158</v>
      </c>
      <c r="I10" s="285" t="s">
        <v>158</v>
      </c>
      <c r="K10" s="283" t="s">
        <v>158</v>
      </c>
      <c r="L10" s="285" t="s">
        <v>158</v>
      </c>
      <c r="M10" s="285" t="s">
        <v>158</v>
      </c>
      <c r="N10" s="285" t="s">
        <v>158</v>
      </c>
      <c r="O10" s="285" t="s">
        <v>158</v>
      </c>
      <c r="P10" s="285" t="s">
        <v>158</v>
      </c>
      <c r="Q10" s="281" t="s">
        <v>223</v>
      </c>
      <c r="T10" s="291"/>
      <c r="U10" s="291"/>
      <c r="V10" s="289"/>
      <c r="W10" s="281" t="s">
        <v>212</v>
      </c>
      <c r="X10" s="281" t="s">
        <v>224</v>
      </c>
      <c r="Y10" s="282">
        <v>100</v>
      </c>
      <c r="AA10" s="286">
        <f t="shared" si="0"/>
        <v>8.333333333333332</v>
      </c>
      <c r="AB10" s="286"/>
      <c r="AC10" s="286">
        <f t="shared" si="1"/>
        <v>0</v>
      </c>
      <c r="AD10" s="286"/>
      <c r="AE10" s="286">
        <f>AC10*365.25/30</f>
        <v>0</v>
      </c>
      <c r="AG10" s="281" t="s">
        <v>59</v>
      </c>
      <c r="AH10" s="287">
        <f t="shared" si="2"/>
        <v>0</v>
      </c>
      <c r="AI10" s="287">
        <f t="shared" si="3"/>
        <v>0</v>
      </c>
      <c r="AJ10" s="287">
        <f t="shared" si="15"/>
        <v>0</v>
      </c>
      <c r="AK10" s="287">
        <f t="shared" si="4"/>
        <v>0</v>
      </c>
      <c r="AL10" s="287">
        <f t="shared" si="5"/>
        <v>0</v>
      </c>
      <c r="AM10" s="287">
        <f t="shared" si="6"/>
        <v>0</v>
      </c>
      <c r="AN10" s="287">
        <f t="shared" si="7"/>
        <v>0</v>
      </c>
      <c r="AO10" s="287">
        <f t="shared" si="8"/>
        <v>0</v>
      </c>
      <c r="AP10" s="287">
        <f t="shared" si="9"/>
        <v>0</v>
      </c>
      <c r="AQ10" s="287">
        <f t="shared" si="10"/>
        <v>0</v>
      </c>
      <c r="AR10" s="287">
        <f t="shared" si="11"/>
        <v>0</v>
      </c>
      <c r="AS10" s="287">
        <f t="shared" si="12"/>
        <v>0</v>
      </c>
      <c r="AT10" s="287">
        <f t="shared" si="13"/>
        <v>0</v>
      </c>
      <c r="AU10" s="287">
        <f t="shared" si="14"/>
        <v>0</v>
      </c>
      <c r="AV10" s="282"/>
      <c r="AW10" s="281" t="s">
        <v>225</v>
      </c>
      <c r="AX10" s="287">
        <v>33775</v>
      </c>
      <c r="AY10" s="287">
        <v>236</v>
      </c>
      <c r="AZ10" s="287">
        <v>25490</v>
      </c>
      <c r="BA10" s="287">
        <v>1890</v>
      </c>
      <c r="BF10" s="287">
        <v>6185</v>
      </c>
      <c r="BH10" s="282"/>
    </row>
    <row r="11" spans="1:60" ht="12.75">
      <c r="A11" s="283" t="s">
        <v>226</v>
      </c>
      <c r="V11" s="285" t="s">
        <v>158</v>
      </c>
      <c r="X11" s="281" t="s">
        <v>227</v>
      </c>
      <c r="Y11" s="282">
        <v>100</v>
      </c>
      <c r="AA11" s="286">
        <f t="shared" si="0"/>
        <v>8.333333333333332</v>
      </c>
      <c r="AB11" s="286"/>
      <c r="AC11" s="286">
        <f t="shared" si="1"/>
        <v>0</v>
      </c>
      <c r="AD11" s="286"/>
      <c r="AE11" s="286">
        <f>AC11*365.25/31</f>
        <v>0</v>
      </c>
      <c r="AG11" s="281" t="s">
        <v>228</v>
      </c>
      <c r="AH11" s="287">
        <f t="shared" si="2"/>
        <v>0</v>
      </c>
      <c r="AI11" s="287">
        <f t="shared" si="3"/>
        <v>0</v>
      </c>
      <c r="AJ11" s="287">
        <f t="shared" si="15"/>
        <v>0</v>
      </c>
      <c r="AK11" s="287">
        <f t="shared" si="4"/>
        <v>0</v>
      </c>
      <c r="AL11" s="287">
        <f t="shared" si="5"/>
        <v>0</v>
      </c>
      <c r="AM11" s="287">
        <f t="shared" si="6"/>
        <v>0</v>
      </c>
      <c r="AN11" s="287">
        <f t="shared" si="7"/>
        <v>0</v>
      </c>
      <c r="AO11" s="287">
        <f t="shared" si="8"/>
        <v>0</v>
      </c>
      <c r="AP11" s="287">
        <f t="shared" si="9"/>
        <v>0</v>
      </c>
      <c r="AQ11" s="287">
        <f t="shared" si="10"/>
        <v>0</v>
      </c>
      <c r="AR11" s="287">
        <f t="shared" si="11"/>
        <v>0</v>
      </c>
      <c r="AS11" s="287">
        <f t="shared" si="12"/>
        <v>0</v>
      </c>
      <c r="AT11" s="287">
        <f t="shared" si="13"/>
        <v>0</v>
      </c>
      <c r="AU11" s="287">
        <f t="shared" si="14"/>
        <v>0</v>
      </c>
      <c r="AV11" s="282"/>
      <c r="AW11" s="281" t="s">
        <v>229</v>
      </c>
      <c r="AX11" s="287">
        <v>34500</v>
      </c>
      <c r="AY11" s="287">
        <v>587</v>
      </c>
      <c r="AZ11" s="287">
        <v>725</v>
      </c>
      <c r="BA11" s="287">
        <v>15180</v>
      </c>
      <c r="BC11" s="287">
        <v>276</v>
      </c>
      <c r="BF11" s="287">
        <v>17733</v>
      </c>
      <c r="BH11" s="282"/>
    </row>
    <row r="12" spans="1:60" ht="12.75">
      <c r="A12" s="281" t="s">
        <v>230</v>
      </c>
      <c r="C12" s="281" t="s">
        <v>231</v>
      </c>
      <c r="H12" s="281" t="s">
        <v>232</v>
      </c>
      <c r="I12" s="281" t="s">
        <v>233</v>
      </c>
      <c r="K12" s="284" t="s">
        <v>234</v>
      </c>
      <c r="L12" s="284" t="s">
        <v>235</v>
      </c>
      <c r="N12" s="281" t="s">
        <v>236</v>
      </c>
      <c r="U12" s="281" t="s">
        <v>237</v>
      </c>
      <c r="X12" s="281" t="s">
        <v>238</v>
      </c>
      <c r="Y12" s="282">
        <v>100</v>
      </c>
      <c r="AA12" s="286">
        <f t="shared" si="0"/>
        <v>8.333333333333332</v>
      </c>
      <c r="AB12" s="286"/>
      <c r="AC12" s="286">
        <f t="shared" si="1"/>
        <v>0</v>
      </c>
      <c r="AD12" s="286"/>
      <c r="AE12" s="286">
        <f>AC12*365.25/31</f>
        <v>0</v>
      </c>
      <c r="AG12" s="281" t="s">
        <v>239</v>
      </c>
      <c r="AH12" s="287">
        <f t="shared" si="2"/>
        <v>0</v>
      </c>
      <c r="AI12" s="287">
        <f t="shared" si="3"/>
        <v>0</v>
      </c>
      <c r="AJ12" s="287">
        <f t="shared" si="15"/>
        <v>0</v>
      </c>
      <c r="AK12" s="287">
        <f t="shared" si="4"/>
        <v>0</v>
      </c>
      <c r="AL12" s="287">
        <f t="shared" si="5"/>
        <v>0</v>
      </c>
      <c r="AM12" s="287">
        <f t="shared" si="6"/>
        <v>0</v>
      </c>
      <c r="AN12" s="287">
        <f t="shared" si="7"/>
        <v>0</v>
      </c>
      <c r="AO12" s="287">
        <f t="shared" si="8"/>
        <v>0</v>
      </c>
      <c r="AP12" s="287">
        <f t="shared" si="9"/>
        <v>0</v>
      </c>
      <c r="AQ12" s="287">
        <f t="shared" si="10"/>
        <v>0</v>
      </c>
      <c r="AR12" s="287">
        <f t="shared" si="11"/>
        <v>0</v>
      </c>
      <c r="AS12" s="287">
        <f t="shared" si="12"/>
        <v>0</v>
      </c>
      <c r="AT12" s="287">
        <f t="shared" si="13"/>
        <v>0</v>
      </c>
      <c r="AU12" s="287">
        <f t="shared" si="14"/>
        <v>0</v>
      </c>
      <c r="AV12" s="282"/>
      <c r="AW12" s="281" t="s">
        <v>240</v>
      </c>
      <c r="AX12" s="284" t="s">
        <v>241</v>
      </c>
      <c r="BH12" s="282"/>
    </row>
    <row r="13" spans="2:60" ht="12.75">
      <c r="B13" s="281" t="s">
        <v>242</v>
      </c>
      <c r="C13" s="283" t="s">
        <v>158</v>
      </c>
      <c r="D13" s="283" t="s">
        <v>158</v>
      </c>
      <c r="E13" s="283" t="s">
        <v>158</v>
      </c>
      <c r="F13" s="283" t="s">
        <v>158</v>
      </c>
      <c r="G13" s="283" t="s">
        <v>158</v>
      </c>
      <c r="H13" s="281" t="s">
        <v>242</v>
      </c>
      <c r="I13" s="281" t="s">
        <v>242</v>
      </c>
      <c r="K13" s="283" t="s">
        <v>158</v>
      </c>
      <c r="L13" s="283" t="s">
        <v>158</v>
      </c>
      <c r="N13" s="283" t="s">
        <v>158</v>
      </c>
      <c r="O13" s="283" t="s">
        <v>158</v>
      </c>
      <c r="P13" s="283" t="s">
        <v>158</v>
      </c>
      <c r="Q13" s="283" t="s">
        <v>158</v>
      </c>
      <c r="R13" s="283" t="s">
        <v>158</v>
      </c>
      <c r="S13" s="283" t="s">
        <v>158</v>
      </c>
      <c r="U13" s="283" t="s">
        <v>158</v>
      </c>
      <c r="V13" s="283" t="s">
        <v>158</v>
      </c>
      <c r="X13" s="281" t="s">
        <v>243</v>
      </c>
      <c r="Y13" s="282">
        <v>100</v>
      </c>
      <c r="AA13" s="286">
        <f t="shared" si="0"/>
        <v>8.333333333333332</v>
      </c>
      <c r="AB13" s="286"/>
      <c r="AC13" s="286">
        <f t="shared" si="1"/>
        <v>0</v>
      </c>
      <c r="AD13" s="286"/>
      <c r="AE13" s="286">
        <f>AC13*365.25/30</f>
        <v>0</v>
      </c>
      <c r="AG13" s="281" t="s">
        <v>244</v>
      </c>
      <c r="AH13" s="287">
        <f t="shared" si="2"/>
        <v>0</v>
      </c>
      <c r="AI13" s="287">
        <f t="shared" si="3"/>
        <v>0</v>
      </c>
      <c r="AJ13" s="287">
        <f t="shared" si="15"/>
        <v>0</v>
      </c>
      <c r="AK13" s="287">
        <f t="shared" si="4"/>
        <v>0</v>
      </c>
      <c r="AL13" s="287">
        <f t="shared" si="5"/>
        <v>0</v>
      </c>
      <c r="AM13" s="287">
        <f t="shared" si="6"/>
        <v>0</v>
      </c>
      <c r="AN13" s="287">
        <f t="shared" si="7"/>
        <v>0</v>
      </c>
      <c r="AO13" s="287">
        <f t="shared" si="8"/>
        <v>0</v>
      </c>
      <c r="AP13" s="287">
        <f t="shared" si="9"/>
        <v>0</v>
      </c>
      <c r="AQ13" s="287">
        <f t="shared" si="10"/>
        <v>0</v>
      </c>
      <c r="AR13" s="287">
        <f t="shared" si="11"/>
        <v>0</v>
      </c>
      <c r="AS13" s="287">
        <f t="shared" si="12"/>
        <v>0</v>
      </c>
      <c r="AT13" s="287">
        <f t="shared" si="13"/>
        <v>0</v>
      </c>
      <c r="AU13" s="287">
        <f t="shared" si="14"/>
        <v>0</v>
      </c>
      <c r="AV13" s="282"/>
      <c r="AW13" s="281" t="s">
        <v>245</v>
      </c>
      <c r="BH13" s="282"/>
    </row>
    <row r="14" spans="1:60" ht="12.75">
      <c r="A14" s="284" t="s">
        <v>246</v>
      </c>
      <c r="B14" s="284" t="s">
        <v>247</v>
      </c>
      <c r="C14" s="284" t="s">
        <v>248</v>
      </c>
      <c r="D14" s="284" t="s">
        <v>249</v>
      </c>
      <c r="E14" s="284" t="s">
        <v>250</v>
      </c>
      <c r="F14" s="284" t="s">
        <v>251</v>
      </c>
      <c r="G14" s="284" t="s">
        <v>252</v>
      </c>
      <c r="H14" s="284" t="s">
        <v>253</v>
      </c>
      <c r="I14" s="284" t="s">
        <v>254</v>
      </c>
      <c r="K14" s="284" t="s">
        <v>255</v>
      </c>
      <c r="L14" s="284" t="s">
        <v>255</v>
      </c>
      <c r="N14" s="284" t="s">
        <v>256</v>
      </c>
      <c r="O14" s="284" t="s">
        <v>257</v>
      </c>
      <c r="P14" s="284" t="s">
        <v>258</v>
      </c>
      <c r="Q14" s="284" t="s">
        <v>259</v>
      </c>
      <c r="R14" s="284" t="s">
        <v>260</v>
      </c>
      <c r="S14" s="284" t="s">
        <v>261</v>
      </c>
      <c r="U14" s="281" t="s">
        <v>262</v>
      </c>
      <c r="V14" s="284" t="s">
        <v>263</v>
      </c>
      <c r="X14" s="281" t="s">
        <v>264</v>
      </c>
      <c r="Y14" s="282">
        <v>100</v>
      </c>
      <c r="AA14" s="286">
        <f t="shared" si="0"/>
        <v>8.333333333333332</v>
      </c>
      <c r="AB14" s="286"/>
      <c r="AC14" s="286">
        <f t="shared" si="1"/>
        <v>0</v>
      </c>
      <c r="AD14" s="286"/>
      <c r="AE14" s="286">
        <f>AC14*365.25/31</f>
        <v>0</v>
      </c>
      <c r="AG14" s="281" t="s">
        <v>265</v>
      </c>
      <c r="AH14" s="287">
        <f t="shared" si="2"/>
        <v>0</v>
      </c>
      <c r="AI14" s="287">
        <f t="shared" si="3"/>
        <v>0</v>
      </c>
      <c r="AJ14" s="287">
        <f t="shared" si="15"/>
        <v>0</v>
      </c>
      <c r="AK14" s="287">
        <f t="shared" si="4"/>
        <v>0</v>
      </c>
      <c r="AL14" s="287">
        <f t="shared" si="5"/>
        <v>0</v>
      </c>
      <c r="AM14" s="287">
        <f t="shared" si="6"/>
        <v>0</v>
      </c>
      <c r="AN14" s="287">
        <f t="shared" si="7"/>
        <v>0</v>
      </c>
      <c r="AO14" s="287">
        <f t="shared" si="8"/>
        <v>0</v>
      </c>
      <c r="AP14" s="287">
        <f t="shared" si="9"/>
        <v>0</v>
      </c>
      <c r="AQ14" s="287">
        <f t="shared" si="10"/>
        <v>0</v>
      </c>
      <c r="AR14" s="287">
        <f t="shared" si="11"/>
        <v>0</v>
      </c>
      <c r="AS14" s="287">
        <f t="shared" si="12"/>
        <v>0</v>
      </c>
      <c r="AT14" s="287">
        <f t="shared" si="13"/>
        <v>0</v>
      </c>
      <c r="AU14" s="287">
        <f t="shared" si="14"/>
        <v>0</v>
      </c>
      <c r="AV14" s="282"/>
      <c r="AW14" s="281" t="s">
        <v>266</v>
      </c>
      <c r="AX14" s="287">
        <v>50043</v>
      </c>
      <c r="AY14" s="287">
        <v>2050</v>
      </c>
      <c r="AZ14" s="287">
        <v>2850</v>
      </c>
      <c r="BA14" s="287">
        <v>1050</v>
      </c>
      <c r="BB14" s="287">
        <v>30200</v>
      </c>
      <c r="BC14" s="287">
        <v>100</v>
      </c>
      <c r="BD14" s="287">
        <v>4850</v>
      </c>
      <c r="BE14" s="287">
        <v>150</v>
      </c>
      <c r="BF14" s="287">
        <v>8760</v>
      </c>
      <c r="BH14" s="282"/>
    </row>
    <row r="15" spans="1:60" ht="12.75">
      <c r="A15" s="283" t="s">
        <v>158</v>
      </c>
      <c r="B15" s="283" t="s">
        <v>158</v>
      </c>
      <c r="C15" s="283" t="s">
        <v>158</v>
      </c>
      <c r="D15" s="283" t="s">
        <v>158</v>
      </c>
      <c r="E15" s="283" t="s">
        <v>158</v>
      </c>
      <c r="F15" s="283" t="s">
        <v>158</v>
      </c>
      <c r="G15" s="283" t="s">
        <v>158</v>
      </c>
      <c r="H15" s="283" t="s">
        <v>158</v>
      </c>
      <c r="I15" s="283" t="s">
        <v>158</v>
      </c>
      <c r="K15" s="283" t="s">
        <v>158</v>
      </c>
      <c r="L15" s="283" t="s">
        <v>158</v>
      </c>
      <c r="N15" s="283" t="s">
        <v>158</v>
      </c>
      <c r="O15" s="283" t="s">
        <v>158</v>
      </c>
      <c r="P15" s="283" t="s">
        <v>158</v>
      </c>
      <c r="Q15" s="283" t="s">
        <v>158</v>
      </c>
      <c r="R15" s="283" t="s">
        <v>158</v>
      </c>
      <c r="S15" s="283" t="s">
        <v>158</v>
      </c>
      <c r="U15" s="283" t="s">
        <v>158</v>
      </c>
      <c r="V15" s="283" t="s">
        <v>158</v>
      </c>
      <c r="X15" s="281" t="s">
        <v>267</v>
      </c>
      <c r="Y15" s="282">
        <v>100</v>
      </c>
      <c r="AA15" s="286">
        <f t="shared" si="0"/>
        <v>8.333333333333332</v>
      </c>
      <c r="AB15" s="286"/>
      <c r="AC15" s="286">
        <f t="shared" si="1"/>
        <v>0</v>
      </c>
      <c r="AD15" s="286"/>
      <c r="AE15" s="286">
        <f>AC15*365.25/30</f>
        <v>0</v>
      </c>
      <c r="AG15" s="281" t="s">
        <v>268</v>
      </c>
      <c r="AH15" s="287">
        <f t="shared" si="2"/>
        <v>0</v>
      </c>
      <c r="AI15" s="287">
        <f t="shared" si="3"/>
        <v>0</v>
      </c>
      <c r="AJ15" s="287">
        <f t="shared" si="15"/>
        <v>0</v>
      </c>
      <c r="AK15" s="287">
        <f t="shared" si="4"/>
        <v>0</v>
      </c>
      <c r="AL15" s="287">
        <f t="shared" si="5"/>
        <v>0</v>
      </c>
      <c r="AM15" s="287">
        <f t="shared" si="6"/>
        <v>0</v>
      </c>
      <c r="AN15" s="287">
        <f t="shared" si="7"/>
        <v>0</v>
      </c>
      <c r="AO15" s="287">
        <f t="shared" si="8"/>
        <v>0</v>
      </c>
      <c r="AP15" s="287">
        <f t="shared" si="9"/>
        <v>0</v>
      </c>
      <c r="AQ15" s="287">
        <f t="shared" si="10"/>
        <v>0</v>
      </c>
      <c r="AR15" s="287">
        <f t="shared" si="11"/>
        <v>0</v>
      </c>
      <c r="AS15" s="287">
        <f t="shared" si="12"/>
        <v>0</v>
      </c>
      <c r="AT15" s="287">
        <f t="shared" si="13"/>
        <v>0</v>
      </c>
      <c r="AU15" s="287">
        <f t="shared" si="14"/>
        <v>0</v>
      </c>
      <c r="AV15" s="282"/>
      <c r="AW15" s="281" t="s">
        <v>269</v>
      </c>
      <c r="AX15" s="284" t="s">
        <v>241</v>
      </c>
      <c r="BH15" s="282"/>
    </row>
    <row r="16" spans="1:60" ht="12.75">
      <c r="A16" s="293" t="s">
        <v>208</v>
      </c>
      <c r="B16" s="282">
        <v>0</v>
      </c>
      <c r="C16" s="294">
        <v>0.92</v>
      </c>
      <c r="D16" s="294">
        <v>0.03</v>
      </c>
      <c r="E16" s="295">
        <v>0.015</v>
      </c>
      <c r="F16" s="294">
        <v>0.025</v>
      </c>
      <c r="G16" s="294">
        <v>0.01</v>
      </c>
      <c r="H16" s="295">
        <v>0.05</v>
      </c>
      <c r="I16" s="295">
        <v>0.04</v>
      </c>
      <c r="J16" s="296">
        <f aca="true" t="shared" si="16" ref="J16:J26">(1-H16)*(1-I16)</f>
        <v>0.9119999999999999</v>
      </c>
      <c r="K16" s="287">
        <v>35.93</v>
      </c>
      <c r="L16" s="287">
        <f aca="true" t="shared" si="17" ref="L16:L26">K16*(1-(I16+(1-I16)*H16))-(I16+8.94*(1-I16)*D16*(1-H16))*2.443</f>
        <v>32.0728861088</v>
      </c>
      <c r="N16" s="287">
        <f aca="true" t="shared" si="18" ref="N16:N26">(C16*J16/$V$19)*1000</f>
        <v>69.8550929761097</v>
      </c>
      <c r="O16" s="287">
        <f aca="true" t="shared" si="19" ref="O16:O26">2*(D16*J16/$V$18)*1000</f>
        <v>27.14366499002946</v>
      </c>
      <c r="P16" s="287">
        <f aca="true" t="shared" si="20" ref="P16:P26">(E16*J16/$V$16)*1000</f>
        <v>0.4266467065868263</v>
      </c>
      <c r="Q16" s="287">
        <f aca="true" t="shared" si="21" ref="Q16:Q26">2*(F16*J16/$V$17)*1000</f>
        <v>1.4250534395039816</v>
      </c>
      <c r="R16" s="287">
        <f aca="true" t="shared" si="22" ref="R16:R26">2*(G16*J16/$V$20)*1000</f>
        <v>0.6511169654522478</v>
      </c>
      <c r="S16" s="287">
        <f aca="true" t="shared" si="23" ref="S16:S26">(I16/V$24)*1000</f>
        <v>2.2203349375253256</v>
      </c>
      <c r="U16" s="284" t="s">
        <v>160</v>
      </c>
      <c r="V16" s="287">
        <v>32.064</v>
      </c>
      <c r="X16" s="281" t="s">
        <v>270</v>
      </c>
      <c r="Y16" s="282">
        <v>100</v>
      </c>
      <c r="AA16" s="286">
        <f t="shared" si="0"/>
        <v>8.333333333333332</v>
      </c>
      <c r="AB16" s="286"/>
      <c r="AC16" s="286">
        <f t="shared" si="1"/>
        <v>0</v>
      </c>
      <c r="AD16" s="286"/>
      <c r="AE16" s="286">
        <f>AC16*365.25/31</f>
        <v>0</v>
      </c>
      <c r="AG16" s="281" t="s">
        <v>271</v>
      </c>
      <c r="AH16" s="287">
        <f t="shared" si="2"/>
        <v>0</v>
      </c>
      <c r="AI16" s="287">
        <f t="shared" si="3"/>
        <v>0</v>
      </c>
      <c r="AJ16" s="287">
        <f t="shared" si="15"/>
        <v>0</v>
      </c>
      <c r="AK16" s="287">
        <f t="shared" si="4"/>
        <v>0</v>
      </c>
      <c r="AL16" s="287">
        <f t="shared" si="5"/>
        <v>0</v>
      </c>
      <c r="AM16" s="287">
        <f t="shared" si="6"/>
        <v>0</v>
      </c>
      <c r="AN16" s="287">
        <f t="shared" si="7"/>
        <v>0</v>
      </c>
      <c r="AO16" s="287">
        <f t="shared" si="8"/>
        <v>0</v>
      </c>
      <c r="AP16" s="287">
        <f t="shared" si="9"/>
        <v>0</v>
      </c>
      <c r="AQ16" s="287">
        <f t="shared" si="10"/>
        <v>0</v>
      </c>
      <c r="AR16" s="287">
        <f t="shared" si="11"/>
        <v>0</v>
      </c>
      <c r="AS16" s="287">
        <f t="shared" si="12"/>
        <v>0</v>
      </c>
      <c r="AT16" s="287">
        <f t="shared" si="13"/>
        <v>0</v>
      </c>
      <c r="AU16" s="287">
        <f t="shared" si="14"/>
        <v>0</v>
      </c>
      <c r="AV16" s="282"/>
      <c r="AW16" s="281" t="s">
        <v>272</v>
      </c>
      <c r="AX16" s="287">
        <v>24412</v>
      </c>
      <c r="AY16" s="287">
        <v>24</v>
      </c>
      <c r="AZ16" s="287">
        <v>1880</v>
      </c>
      <c r="BA16" s="287">
        <v>684</v>
      </c>
      <c r="BB16" s="287">
        <v>1370</v>
      </c>
      <c r="BC16" s="287">
        <v>12770</v>
      </c>
      <c r="BD16" s="287">
        <v>122</v>
      </c>
      <c r="BF16" s="287">
        <v>7570</v>
      </c>
      <c r="BH16" s="282"/>
    </row>
    <row r="17" spans="1:60" ht="12.75">
      <c r="A17" s="293" t="s">
        <v>215</v>
      </c>
      <c r="B17" s="282">
        <v>100</v>
      </c>
      <c r="C17" s="294">
        <v>0.8367</v>
      </c>
      <c r="D17" s="294">
        <v>0.0527</v>
      </c>
      <c r="E17" s="295">
        <v>0.011</v>
      </c>
      <c r="F17" s="294">
        <v>0.0817</v>
      </c>
      <c r="G17" s="294">
        <v>0.0178</v>
      </c>
      <c r="H17" s="295">
        <v>0.128</v>
      </c>
      <c r="I17" s="295">
        <v>0.085</v>
      </c>
      <c r="J17" s="296">
        <f t="shared" si="16"/>
        <v>0.79788</v>
      </c>
      <c r="K17" s="287">
        <v>33.48</v>
      </c>
      <c r="L17" s="287">
        <f t="shared" si="17"/>
        <v>25.587015391884076</v>
      </c>
      <c r="N17" s="287">
        <f t="shared" si="18"/>
        <v>55.5805394154598</v>
      </c>
      <c r="O17" s="287">
        <f t="shared" si="19"/>
        <v>41.715801065507904</v>
      </c>
      <c r="P17" s="287">
        <f t="shared" si="20"/>
        <v>0.2737238023952096</v>
      </c>
      <c r="Q17" s="287">
        <f t="shared" si="21"/>
        <v>4.074327537282649</v>
      </c>
      <c r="R17" s="287">
        <f t="shared" si="22"/>
        <v>1.0139621752447043</v>
      </c>
      <c r="S17" s="287">
        <f t="shared" si="23"/>
        <v>4.7182117422413175</v>
      </c>
      <c r="U17" s="284" t="s">
        <v>273</v>
      </c>
      <c r="V17" s="287">
        <v>31.9988</v>
      </c>
      <c r="X17" s="283" t="s">
        <v>158</v>
      </c>
      <c r="Y17" s="285" t="s">
        <v>158</v>
      </c>
      <c r="Z17" s="283" t="s">
        <v>158</v>
      </c>
      <c r="AA17" s="283" t="s">
        <v>158</v>
      </c>
      <c r="AB17" s="283" t="s">
        <v>158</v>
      </c>
      <c r="AC17" s="283" t="s">
        <v>158</v>
      </c>
      <c r="AD17" s="283" t="s">
        <v>158</v>
      </c>
      <c r="AE17" s="283" t="s">
        <v>158</v>
      </c>
      <c r="AG17" s="281" t="s">
        <v>274</v>
      </c>
      <c r="AH17" s="287">
        <f t="shared" si="2"/>
        <v>0</v>
      </c>
      <c r="AI17" s="287">
        <f t="shared" si="3"/>
        <v>0</v>
      </c>
      <c r="AJ17" s="287">
        <f t="shared" si="15"/>
        <v>0</v>
      </c>
      <c r="AK17" s="287">
        <f t="shared" si="4"/>
        <v>0</v>
      </c>
      <c r="AL17" s="287">
        <f t="shared" si="5"/>
        <v>0</v>
      </c>
      <c r="AM17" s="287">
        <f t="shared" si="6"/>
        <v>0</v>
      </c>
      <c r="AN17" s="287">
        <f t="shared" si="7"/>
        <v>0</v>
      </c>
      <c r="AO17" s="287">
        <f t="shared" si="8"/>
        <v>0</v>
      </c>
      <c r="AP17" s="287">
        <f t="shared" si="9"/>
        <v>0</v>
      </c>
      <c r="AQ17" s="287">
        <f t="shared" si="10"/>
        <v>0</v>
      </c>
      <c r="AR17" s="287">
        <f t="shared" si="11"/>
        <v>0</v>
      </c>
      <c r="AS17" s="287">
        <f t="shared" si="12"/>
        <v>0</v>
      </c>
      <c r="AT17" s="287">
        <f t="shared" si="13"/>
        <v>0</v>
      </c>
      <c r="AU17" s="287">
        <f t="shared" si="14"/>
        <v>0</v>
      </c>
      <c r="AV17" s="282"/>
      <c r="AW17" s="281" t="s">
        <v>275</v>
      </c>
      <c r="AX17" s="284" t="s">
        <v>241</v>
      </c>
      <c r="BH17" s="282"/>
    </row>
    <row r="18" spans="1:60" ht="12.75">
      <c r="A18" s="293" t="s">
        <v>222</v>
      </c>
      <c r="B18" s="282">
        <v>0</v>
      </c>
      <c r="C18" s="294">
        <v>0.64</v>
      </c>
      <c r="D18" s="294">
        <v>0.055</v>
      </c>
      <c r="E18" s="295">
        <v>0.02</v>
      </c>
      <c r="F18" s="294">
        <v>0.27</v>
      </c>
      <c r="G18" s="294">
        <v>0.015</v>
      </c>
      <c r="H18" s="295">
        <v>0.2</v>
      </c>
      <c r="I18" s="295">
        <v>0.5</v>
      </c>
      <c r="J18" s="296">
        <f t="shared" si="16"/>
        <v>0.4</v>
      </c>
      <c r="K18" s="287">
        <v>26.7</v>
      </c>
      <c r="L18" s="287">
        <f t="shared" si="17"/>
        <v>8.97801076</v>
      </c>
      <c r="N18" s="287">
        <f t="shared" si="18"/>
        <v>21.313529512161615</v>
      </c>
      <c r="O18" s="287">
        <f t="shared" si="19"/>
        <v>21.826046410111413</v>
      </c>
      <c r="P18" s="287">
        <f t="shared" si="20"/>
        <v>0.249500998003992</v>
      </c>
      <c r="Q18" s="287">
        <f t="shared" si="21"/>
        <v>6.750253134492544</v>
      </c>
      <c r="R18" s="287">
        <f t="shared" si="22"/>
        <v>0.4283664246396367</v>
      </c>
      <c r="S18" s="287">
        <f t="shared" si="23"/>
        <v>27.75418671906657</v>
      </c>
      <c r="U18" s="284" t="s">
        <v>276</v>
      </c>
      <c r="V18" s="287">
        <v>2.01594</v>
      </c>
      <c r="X18" s="281" t="s">
        <v>277</v>
      </c>
      <c r="Y18" s="282">
        <f>SUM(Y5:Y16)</f>
        <v>1200</v>
      </c>
      <c r="Z18" s="281" t="s">
        <v>278</v>
      </c>
      <c r="AA18" s="287">
        <f>SUM(AA5:AA16)</f>
        <v>99.99999999999996</v>
      </c>
      <c r="AB18" s="281" t="s">
        <v>279</v>
      </c>
      <c r="AC18" s="287">
        <f>SUM(AC5:AC16)</f>
        <v>0</v>
      </c>
      <c r="AE18" s="281" t="s">
        <v>280</v>
      </c>
      <c r="AG18" s="283" t="s">
        <v>158</v>
      </c>
      <c r="AH18" s="283" t="s">
        <v>158</v>
      </c>
      <c r="AI18" s="283" t="s">
        <v>158</v>
      </c>
      <c r="AJ18" s="283" t="s">
        <v>158</v>
      </c>
      <c r="AK18" s="283" t="s">
        <v>158</v>
      </c>
      <c r="AL18" s="283" t="s">
        <v>158</v>
      </c>
      <c r="AM18" s="283" t="s">
        <v>158</v>
      </c>
      <c r="AN18" s="283" t="s">
        <v>158</v>
      </c>
      <c r="AO18" s="283" t="s">
        <v>158</v>
      </c>
      <c r="AP18" s="283" t="s">
        <v>158</v>
      </c>
      <c r="AQ18" s="283" t="s">
        <v>158</v>
      </c>
      <c r="AR18" s="283" t="s">
        <v>158</v>
      </c>
      <c r="AS18" s="283" t="s">
        <v>158</v>
      </c>
      <c r="AT18" s="283" t="s">
        <v>158</v>
      </c>
      <c r="AU18" s="283" t="s">
        <v>158</v>
      </c>
      <c r="AV18" s="282"/>
      <c r="AW18" s="284" t="s">
        <v>281</v>
      </c>
      <c r="AX18" s="287">
        <v>65556</v>
      </c>
      <c r="BD18" s="287">
        <v>65556</v>
      </c>
      <c r="BH18" s="282"/>
    </row>
    <row r="19" spans="1:60" ht="12.75">
      <c r="A19" s="293" t="s">
        <v>225</v>
      </c>
      <c r="B19" s="282">
        <v>0</v>
      </c>
      <c r="C19" s="294">
        <v>0.5789</v>
      </c>
      <c r="D19" s="294">
        <v>0.0579</v>
      </c>
      <c r="E19" s="295">
        <v>0.0021</v>
      </c>
      <c r="F19" s="294">
        <v>0.3432</v>
      </c>
      <c r="G19" s="294">
        <v>0.0179</v>
      </c>
      <c r="H19" s="295">
        <v>0.05</v>
      </c>
      <c r="I19" s="295">
        <v>0.5</v>
      </c>
      <c r="J19" s="296">
        <f t="shared" si="16"/>
        <v>0.475</v>
      </c>
      <c r="K19" s="287">
        <v>23.16</v>
      </c>
      <c r="L19" s="287">
        <f t="shared" si="17"/>
        <v>9.17883384895</v>
      </c>
      <c r="N19" s="287">
        <f t="shared" si="18"/>
        <v>22.893519771212578</v>
      </c>
      <c r="O19" s="287">
        <f t="shared" si="19"/>
        <v>27.285038245185866</v>
      </c>
      <c r="P19" s="287">
        <f t="shared" si="20"/>
        <v>0.031109655688622753</v>
      </c>
      <c r="Q19" s="287">
        <f t="shared" si="21"/>
        <v>10.189132092453466</v>
      </c>
      <c r="R19" s="287">
        <f t="shared" si="22"/>
        <v>0.6070309209164186</v>
      </c>
      <c r="S19" s="287">
        <f t="shared" si="23"/>
        <v>27.75418671906657</v>
      </c>
      <c r="U19" s="284" t="s">
        <v>282</v>
      </c>
      <c r="V19" s="287">
        <v>12.01115</v>
      </c>
      <c r="AE19" s="281" t="s">
        <v>283</v>
      </c>
      <c r="AG19" s="281" t="s">
        <v>284</v>
      </c>
      <c r="AH19" s="287">
        <f aca="true" t="shared" si="24" ref="AH19:AU19">SUM(AH7:AH17)</f>
        <v>3598428.2337762243</v>
      </c>
      <c r="AI19" s="287">
        <f t="shared" si="24"/>
        <v>0</v>
      </c>
      <c r="AJ19" s="287">
        <f t="shared" si="24"/>
        <v>0</v>
      </c>
      <c r="AK19" s="287">
        <f t="shared" si="24"/>
        <v>0</v>
      </c>
      <c r="AL19" s="287">
        <f t="shared" si="24"/>
        <v>0</v>
      </c>
      <c r="AM19" s="287">
        <f t="shared" si="24"/>
        <v>0</v>
      </c>
      <c r="AN19" s="287">
        <f t="shared" si="24"/>
        <v>0</v>
      </c>
      <c r="AO19" s="287">
        <f t="shared" si="24"/>
        <v>0</v>
      </c>
      <c r="AP19" s="287">
        <f t="shared" si="24"/>
        <v>0</v>
      </c>
      <c r="AQ19" s="287">
        <f t="shared" si="24"/>
        <v>0</v>
      </c>
      <c r="AR19" s="287">
        <f t="shared" si="24"/>
        <v>0</v>
      </c>
      <c r="AS19" s="287">
        <f t="shared" si="24"/>
        <v>0</v>
      </c>
      <c r="AT19" s="287">
        <f t="shared" si="24"/>
        <v>0</v>
      </c>
      <c r="AU19" s="287">
        <f t="shared" si="24"/>
        <v>0</v>
      </c>
      <c r="AV19" s="282"/>
      <c r="AW19" s="284" t="s">
        <v>285</v>
      </c>
      <c r="AX19" s="287">
        <v>4699</v>
      </c>
      <c r="BA19" s="287">
        <v>1203</v>
      </c>
      <c r="BE19" s="287">
        <v>126</v>
      </c>
      <c r="BF19" s="287">
        <v>3370</v>
      </c>
      <c r="BH19" s="282"/>
    </row>
    <row r="20" spans="1:60" ht="12.75">
      <c r="A20" s="293" t="s">
        <v>229</v>
      </c>
      <c r="B20" s="282">
        <v>0</v>
      </c>
      <c r="C20" s="294">
        <v>0.506</v>
      </c>
      <c r="D20" s="294">
        <v>0.062</v>
      </c>
      <c r="E20" s="295">
        <v>0</v>
      </c>
      <c r="F20" s="294">
        <v>0.427</v>
      </c>
      <c r="G20" s="294">
        <v>0.005</v>
      </c>
      <c r="H20" s="295">
        <v>0.004</v>
      </c>
      <c r="I20" s="295">
        <v>0.55</v>
      </c>
      <c r="J20" s="296">
        <f t="shared" si="16"/>
        <v>0.44819999999999993</v>
      </c>
      <c r="K20" s="287">
        <v>19.1</v>
      </c>
      <c r="L20" s="287">
        <f t="shared" si="17"/>
        <v>6.610059672872</v>
      </c>
      <c r="N20" s="287">
        <f t="shared" si="18"/>
        <v>18.881555887654386</v>
      </c>
      <c r="O20" s="287">
        <f t="shared" si="19"/>
        <v>27.568677639215448</v>
      </c>
      <c r="P20" s="287">
        <f t="shared" si="20"/>
        <v>0</v>
      </c>
      <c r="Q20" s="287">
        <f t="shared" si="21"/>
        <v>11.96178606697751</v>
      </c>
      <c r="R20" s="287">
        <f t="shared" si="22"/>
        <v>0.1599948596029043</v>
      </c>
      <c r="S20" s="287">
        <f t="shared" si="23"/>
        <v>30.52960539097323</v>
      </c>
      <c r="U20" s="284" t="s">
        <v>286</v>
      </c>
      <c r="V20" s="287">
        <v>28.0134</v>
      </c>
      <c r="AV20" s="282"/>
      <c r="AW20" s="283" t="s">
        <v>158</v>
      </c>
      <c r="AX20" s="283" t="s">
        <v>158</v>
      </c>
      <c r="AY20" s="283" t="s">
        <v>158</v>
      </c>
      <c r="AZ20" s="283" t="s">
        <v>158</v>
      </c>
      <c r="BA20" s="283" t="s">
        <v>158</v>
      </c>
      <c r="BB20" s="283" t="s">
        <v>158</v>
      </c>
      <c r="BC20" s="283" t="s">
        <v>158</v>
      </c>
      <c r="BD20" s="283" t="s">
        <v>158</v>
      </c>
      <c r="BE20" s="283" t="s">
        <v>158</v>
      </c>
      <c r="BF20" s="283" t="s">
        <v>158</v>
      </c>
      <c r="BH20" s="282"/>
    </row>
    <row r="21" spans="1:60" ht="12.75">
      <c r="A21" s="293" t="s">
        <v>240</v>
      </c>
      <c r="B21" s="282">
        <v>0</v>
      </c>
      <c r="C21" s="294">
        <v>0.5386</v>
      </c>
      <c r="D21" s="294">
        <v>0.06301</v>
      </c>
      <c r="E21" s="295">
        <v>0</v>
      </c>
      <c r="F21" s="294">
        <v>0.3933</v>
      </c>
      <c r="G21" s="294">
        <v>0.00508</v>
      </c>
      <c r="H21" s="295">
        <v>0.016</v>
      </c>
      <c r="I21" s="295">
        <v>0.55</v>
      </c>
      <c r="J21" s="296">
        <f t="shared" si="16"/>
        <v>0.44279999999999997</v>
      </c>
      <c r="K21" s="287">
        <v>21.8</v>
      </c>
      <c r="L21" s="287">
        <f t="shared" si="17"/>
        <v>7.700024198132239</v>
      </c>
      <c r="N21" s="287">
        <f t="shared" si="18"/>
        <v>19.855890568346908</v>
      </c>
      <c r="O21" s="287">
        <f t="shared" si="19"/>
        <v>27.680216673115265</v>
      </c>
      <c r="P21" s="287">
        <f t="shared" si="20"/>
        <v>0</v>
      </c>
      <c r="Q21" s="287">
        <f t="shared" si="21"/>
        <v>10.88498568696326</v>
      </c>
      <c r="R21" s="287">
        <f t="shared" si="22"/>
        <v>0.16059628606309836</v>
      </c>
      <c r="S21" s="287">
        <f t="shared" si="23"/>
        <v>30.52960539097323</v>
      </c>
      <c r="U21" s="284" t="s">
        <v>287</v>
      </c>
      <c r="V21" s="287">
        <v>39.102</v>
      </c>
      <c r="X21" s="281" t="s">
        <v>288</v>
      </c>
      <c r="AG21" s="281" t="s">
        <v>289</v>
      </c>
      <c r="AH21" s="287">
        <f>E5</f>
        <v>1000</v>
      </c>
      <c r="AI21" s="281" t="s">
        <v>290</v>
      </c>
      <c r="AV21" s="282"/>
      <c r="AW21" s="284" t="s">
        <v>291</v>
      </c>
      <c r="AX21" s="287">
        <f aca="true" t="shared" si="25" ref="AX21:BF21">SUM(AX7:AX19)</f>
        <v>302995</v>
      </c>
      <c r="AY21" s="287">
        <f t="shared" si="25"/>
        <v>70897</v>
      </c>
      <c r="AZ21" s="287">
        <f t="shared" si="25"/>
        <v>31575</v>
      </c>
      <c r="BA21" s="287">
        <f t="shared" si="25"/>
        <v>20007</v>
      </c>
      <c r="BB21" s="287">
        <f t="shared" si="25"/>
        <v>31570</v>
      </c>
      <c r="BC21" s="287">
        <f t="shared" si="25"/>
        <v>13146</v>
      </c>
      <c r="BD21" s="287">
        <f t="shared" si="25"/>
        <v>70528</v>
      </c>
      <c r="BE21" s="287">
        <f t="shared" si="25"/>
        <v>276</v>
      </c>
      <c r="BF21" s="287">
        <f t="shared" si="25"/>
        <v>65018</v>
      </c>
      <c r="BH21" s="282"/>
    </row>
    <row r="22" spans="1:60" ht="12.75">
      <c r="A22" s="293" t="s">
        <v>245</v>
      </c>
      <c r="B22" s="282">
        <v>0</v>
      </c>
      <c r="C22" s="294">
        <v>0.474</v>
      </c>
      <c r="D22" s="294">
        <v>0.0558</v>
      </c>
      <c r="E22" s="295">
        <v>0</v>
      </c>
      <c r="F22" s="294">
        <v>0.4772</v>
      </c>
      <c r="G22" s="294">
        <v>0.01</v>
      </c>
      <c r="H22" s="295">
        <v>0.02</v>
      </c>
      <c r="I22" s="295">
        <v>0.25</v>
      </c>
      <c r="J22" s="296">
        <f t="shared" si="16"/>
        <v>0.735</v>
      </c>
      <c r="K22" s="287">
        <v>16.1</v>
      </c>
      <c r="L22" s="287">
        <f t="shared" si="17"/>
        <v>10.32700885454</v>
      </c>
      <c r="N22" s="287">
        <f t="shared" si="18"/>
        <v>29.00554901071088</v>
      </c>
      <c r="O22" s="287">
        <f t="shared" si="19"/>
        <v>40.68871097354088</v>
      </c>
      <c r="P22" s="287">
        <f t="shared" si="20"/>
        <v>0</v>
      </c>
      <c r="Q22" s="287">
        <f t="shared" si="21"/>
        <v>21.922197082390593</v>
      </c>
      <c r="R22" s="287">
        <f t="shared" si="22"/>
        <v>0.524748870183555</v>
      </c>
      <c r="S22" s="287">
        <f t="shared" si="23"/>
        <v>13.877093359533285</v>
      </c>
      <c r="U22" s="284" t="s">
        <v>292</v>
      </c>
      <c r="V22" s="287">
        <v>28.1394</v>
      </c>
      <c r="AV22" s="282"/>
      <c r="AW22" s="283" t="s">
        <v>158</v>
      </c>
      <c r="AX22" s="283" t="s">
        <v>158</v>
      </c>
      <c r="AY22" s="283" t="s">
        <v>158</v>
      </c>
      <c r="AZ22" s="283" t="s">
        <v>158</v>
      </c>
      <c r="BA22" s="283" t="s">
        <v>158</v>
      </c>
      <c r="BB22" s="283" t="s">
        <v>158</v>
      </c>
      <c r="BC22" s="283" t="s">
        <v>158</v>
      </c>
      <c r="BD22" s="283" t="s">
        <v>158</v>
      </c>
      <c r="BE22" s="283" t="s">
        <v>158</v>
      </c>
      <c r="BF22" s="283" t="s">
        <v>158</v>
      </c>
      <c r="BH22" s="282"/>
    </row>
    <row r="23" spans="1:60" ht="12.75">
      <c r="A23" s="293" t="s">
        <v>266</v>
      </c>
      <c r="B23" s="282">
        <v>0</v>
      </c>
      <c r="C23" s="294">
        <v>0.856</v>
      </c>
      <c r="D23" s="294">
        <v>0.103</v>
      </c>
      <c r="E23" s="295">
        <v>0.025</v>
      </c>
      <c r="F23" s="294">
        <v>0.006</v>
      </c>
      <c r="G23" s="294">
        <v>0.006</v>
      </c>
      <c r="H23" s="295">
        <v>0.0004</v>
      </c>
      <c r="I23" s="295">
        <v>0.004</v>
      </c>
      <c r="J23" s="296">
        <f t="shared" si="16"/>
        <v>0.9956016000000001</v>
      </c>
      <c r="K23" s="287">
        <v>42.54</v>
      </c>
      <c r="L23" s="287">
        <f t="shared" si="17"/>
        <v>40.10345128304278</v>
      </c>
      <c r="N23" s="287">
        <f t="shared" si="18"/>
        <v>70.9536530307256</v>
      </c>
      <c r="O23" s="287">
        <f t="shared" si="19"/>
        <v>101.73612786094824</v>
      </c>
      <c r="P23" s="287">
        <f t="shared" si="20"/>
        <v>0.7762612275449102</v>
      </c>
      <c r="Q23" s="287">
        <f t="shared" si="21"/>
        <v>0.37336460117254405</v>
      </c>
      <c r="R23" s="287">
        <f t="shared" si="22"/>
        <v>0.4264822977575018</v>
      </c>
      <c r="S23" s="287">
        <f t="shared" si="23"/>
        <v>0.22203349375253256</v>
      </c>
      <c r="U23" s="284" t="s">
        <v>293</v>
      </c>
      <c r="V23" s="287">
        <v>44.01</v>
      </c>
      <c r="X23" s="282"/>
      <c r="Y23" s="282"/>
      <c r="Z23" s="282"/>
      <c r="AA23" s="282"/>
      <c r="AV23" s="282"/>
      <c r="BH23" s="282"/>
    </row>
    <row r="24" spans="1:60" ht="12.75">
      <c r="A24" s="293" t="s">
        <v>269</v>
      </c>
      <c r="B24" s="282">
        <v>0</v>
      </c>
      <c r="C24" s="294">
        <v>0.86</v>
      </c>
      <c r="D24" s="294">
        <v>0.136</v>
      </c>
      <c r="E24" s="295">
        <v>0.002</v>
      </c>
      <c r="F24" s="294">
        <v>0</v>
      </c>
      <c r="G24" s="294">
        <v>0.002</v>
      </c>
      <c r="H24" s="295">
        <v>0.0001</v>
      </c>
      <c r="I24" s="295">
        <v>0.0005</v>
      </c>
      <c r="J24" s="297">
        <f t="shared" si="16"/>
        <v>0.9994000500000001</v>
      </c>
      <c r="K24" s="287">
        <v>45.59</v>
      </c>
      <c r="L24" s="287">
        <f t="shared" si="17"/>
        <v>42.59291168925715</v>
      </c>
      <c r="N24" s="287">
        <f t="shared" si="18"/>
        <v>71.55718170200188</v>
      </c>
      <c r="O24" s="287">
        <f t="shared" si="19"/>
        <v>134.8437024911456</v>
      </c>
      <c r="P24" s="287">
        <f t="shared" si="20"/>
        <v>0.06233782747005989</v>
      </c>
      <c r="Q24" s="287">
        <f t="shared" si="21"/>
        <v>0</v>
      </c>
      <c r="R24" s="287">
        <f t="shared" si="22"/>
        <v>0.14270314206772475</v>
      </c>
      <c r="S24" s="287">
        <f t="shared" si="23"/>
        <v>0.02775418671906657</v>
      </c>
      <c r="U24" s="284" t="s">
        <v>294</v>
      </c>
      <c r="V24" s="287">
        <v>18.0153</v>
      </c>
      <c r="X24" s="282"/>
      <c r="Y24" s="282"/>
      <c r="Z24" s="282"/>
      <c r="AA24" s="282"/>
      <c r="AG24" s="281" t="s">
        <v>295</v>
      </c>
      <c r="AV24" s="282"/>
      <c r="BH24" s="282"/>
    </row>
    <row r="25" spans="1:60" ht="12.75">
      <c r="A25" s="293" t="s">
        <v>272</v>
      </c>
      <c r="B25" s="282">
        <v>0</v>
      </c>
      <c r="C25" s="294">
        <v>0.743</v>
      </c>
      <c r="D25" s="294">
        <v>0.248</v>
      </c>
      <c r="E25" s="295">
        <v>0</v>
      </c>
      <c r="F25" s="294">
        <v>0</v>
      </c>
      <c r="G25" s="294">
        <v>0.009</v>
      </c>
      <c r="H25" s="295">
        <v>0</v>
      </c>
      <c r="I25" s="295">
        <v>0</v>
      </c>
      <c r="J25" s="296">
        <f t="shared" si="16"/>
        <v>1</v>
      </c>
      <c r="K25" s="287">
        <v>54.42</v>
      </c>
      <c r="L25" s="287">
        <f t="shared" si="17"/>
        <v>49.00357584</v>
      </c>
      <c r="N25" s="287">
        <f t="shared" si="18"/>
        <v>61.85918917006281</v>
      </c>
      <c r="O25" s="287">
        <f t="shared" si="19"/>
        <v>246.0390686230741</v>
      </c>
      <c r="P25" s="287">
        <f t="shared" si="20"/>
        <v>0</v>
      </c>
      <c r="Q25" s="287">
        <f t="shared" si="21"/>
        <v>0</v>
      </c>
      <c r="R25" s="287">
        <f t="shared" si="22"/>
        <v>0.6425496369594551</v>
      </c>
      <c r="S25" s="287">
        <f t="shared" si="23"/>
        <v>0</v>
      </c>
      <c r="U25" s="284" t="s">
        <v>296</v>
      </c>
      <c r="V25" s="287">
        <v>64.0628</v>
      </c>
      <c r="X25" s="282"/>
      <c r="Y25" s="282"/>
      <c r="Z25" s="282"/>
      <c r="AA25" s="289"/>
      <c r="AG25" s="283" t="s">
        <v>158</v>
      </c>
      <c r="AH25" s="283" t="s">
        <v>158</v>
      </c>
      <c r="AI25" s="283" t="s">
        <v>158</v>
      </c>
      <c r="AJ25" s="283" t="s">
        <v>158</v>
      </c>
      <c r="AK25" s="283" t="s">
        <v>158</v>
      </c>
      <c r="AL25" s="283" t="s">
        <v>158</v>
      </c>
      <c r="AM25" s="283" t="s">
        <v>158</v>
      </c>
      <c r="AN25" s="283" t="s">
        <v>158</v>
      </c>
      <c r="AO25" s="283" t="s">
        <v>158</v>
      </c>
      <c r="AP25" s="283" t="s">
        <v>158</v>
      </c>
      <c r="AQ25" s="283" t="s">
        <v>158</v>
      </c>
      <c r="AR25" s="283" t="s">
        <v>158</v>
      </c>
      <c r="AS25" s="283" t="s">
        <v>158</v>
      </c>
      <c r="AT25" s="283" t="s">
        <v>158</v>
      </c>
      <c r="AU25" s="283" t="s">
        <v>158</v>
      </c>
      <c r="AV25" s="282"/>
      <c r="AW25" s="281" t="s">
        <v>297</v>
      </c>
      <c r="BH25" s="282"/>
    </row>
    <row r="26" spans="1:60" ht="12.75">
      <c r="A26" s="293" t="s">
        <v>275</v>
      </c>
      <c r="B26" s="282">
        <v>0</v>
      </c>
      <c r="C26" s="295">
        <v>0.475</v>
      </c>
      <c r="D26" s="295">
        <v>0.05</v>
      </c>
      <c r="E26" s="295">
        <v>0.054</v>
      </c>
      <c r="F26" s="295">
        <v>0.42</v>
      </c>
      <c r="G26" s="295">
        <v>0.001</v>
      </c>
      <c r="H26" s="295">
        <v>0.2</v>
      </c>
      <c r="I26" s="295">
        <v>0.4</v>
      </c>
      <c r="J26" s="296">
        <f t="shared" si="16"/>
        <v>0.48</v>
      </c>
      <c r="K26" s="287">
        <f>(C26+D26+E26)*0.976/(1+0.113*((N26*0.39392+O26*0.14325+P26*0.29683)/(J26*(C26+D26+E26))/(100*F26)-0.55)^-1.23)*((N26*0.39392+O26*0.14325+P26*0.29683)/(J26*(C26+D26+E26)))</f>
        <v>16.82097854818458</v>
      </c>
      <c r="L26" s="287">
        <f t="shared" si="17"/>
        <v>6.572699623128599</v>
      </c>
      <c r="N26" s="287">
        <f t="shared" si="18"/>
        <v>18.982362221768934</v>
      </c>
      <c r="O26" s="287">
        <f t="shared" si="19"/>
        <v>23.810232447394267</v>
      </c>
      <c r="P26" s="287">
        <f t="shared" si="20"/>
        <v>0.8083832335329341</v>
      </c>
      <c r="Q26" s="287">
        <f t="shared" si="21"/>
        <v>12.600472517719414</v>
      </c>
      <c r="R26" s="287">
        <f t="shared" si="22"/>
        <v>0.03426931397117094</v>
      </c>
      <c r="S26" s="287">
        <f t="shared" si="23"/>
        <v>22.20334937525326</v>
      </c>
      <c r="U26" s="284" t="s">
        <v>205</v>
      </c>
      <c r="V26" s="287">
        <v>28.0106</v>
      </c>
      <c r="AG26" s="281" t="s">
        <v>298</v>
      </c>
      <c r="AH26" s="281" t="s">
        <v>167</v>
      </c>
      <c r="AI26" s="281" t="s">
        <v>168</v>
      </c>
      <c r="AJ26" s="281" t="s">
        <v>169</v>
      </c>
      <c r="AK26" s="281" t="s">
        <v>170</v>
      </c>
      <c r="AL26" s="281" t="s">
        <v>171</v>
      </c>
      <c r="AM26" s="281" t="s">
        <v>172</v>
      </c>
      <c r="AN26" s="281" t="s">
        <v>173</v>
      </c>
      <c r="AO26" s="281" t="s">
        <v>174</v>
      </c>
      <c r="AP26" s="281" t="s">
        <v>175</v>
      </c>
      <c r="AQ26" s="281" t="s">
        <v>176</v>
      </c>
      <c r="AR26" s="281" t="s">
        <v>177</v>
      </c>
      <c r="AS26" s="281" t="s">
        <v>178</v>
      </c>
      <c r="AT26" s="281" t="s">
        <v>179</v>
      </c>
      <c r="AU26" s="281" t="s">
        <v>180</v>
      </c>
      <c r="AV26" s="282"/>
      <c r="AW26" s="283" t="s">
        <v>158</v>
      </c>
      <c r="AX26" s="283" t="s">
        <v>158</v>
      </c>
      <c r="AY26" s="283" t="s">
        <v>158</v>
      </c>
      <c r="AZ26" s="283" t="s">
        <v>158</v>
      </c>
      <c r="BA26" s="283" t="s">
        <v>158</v>
      </c>
      <c r="BB26" s="283" t="s">
        <v>158</v>
      </c>
      <c r="BC26" s="283" t="s">
        <v>158</v>
      </c>
      <c r="BD26" s="283" t="s">
        <v>158</v>
      </c>
      <c r="BE26" s="283" t="s">
        <v>158</v>
      </c>
      <c r="BF26" s="283" t="s">
        <v>158</v>
      </c>
      <c r="BH26" s="282"/>
    </row>
    <row r="27" spans="1:60" ht="12.75">
      <c r="A27" s="283" t="s">
        <v>158</v>
      </c>
      <c r="B27" s="285" t="s">
        <v>158</v>
      </c>
      <c r="C27" s="285" t="s">
        <v>158</v>
      </c>
      <c r="D27" s="285" t="s">
        <v>158</v>
      </c>
      <c r="E27" s="285" t="s">
        <v>158</v>
      </c>
      <c r="F27" s="285" t="s">
        <v>158</v>
      </c>
      <c r="G27" s="285" t="s">
        <v>158</v>
      </c>
      <c r="H27" s="285" t="s">
        <v>158</v>
      </c>
      <c r="I27" s="285" t="s">
        <v>158</v>
      </c>
      <c r="K27" s="283" t="s">
        <v>158</v>
      </c>
      <c r="L27" s="283" t="s">
        <v>158</v>
      </c>
      <c r="N27" s="283" t="s">
        <v>158</v>
      </c>
      <c r="O27" s="283" t="s">
        <v>158</v>
      </c>
      <c r="P27" s="283" t="s">
        <v>158</v>
      </c>
      <c r="Q27" s="283" t="s">
        <v>158</v>
      </c>
      <c r="R27" s="283" t="s">
        <v>158</v>
      </c>
      <c r="S27" s="283" t="s">
        <v>158</v>
      </c>
      <c r="U27" s="284" t="s">
        <v>200</v>
      </c>
      <c r="V27" s="287">
        <v>30.0061</v>
      </c>
      <c r="AH27" s="281" t="s">
        <v>192</v>
      </c>
      <c r="AI27" s="281" t="s">
        <v>193</v>
      </c>
      <c r="AJ27" s="281" t="s">
        <v>194</v>
      </c>
      <c r="AK27" s="281" t="s">
        <v>194</v>
      </c>
      <c r="AL27" s="281" t="s">
        <v>194</v>
      </c>
      <c r="AM27" s="281" t="s">
        <v>194</v>
      </c>
      <c r="AN27" s="281" t="s">
        <v>194</v>
      </c>
      <c r="AO27" s="281" t="s">
        <v>194</v>
      </c>
      <c r="AP27" s="281" t="s">
        <v>194</v>
      </c>
      <c r="AQ27" s="281" t="s">
        <v>194</v>
      </c>
      <c r="AR27" s="281" t="s">
        <v>194</v>
      </c>
      <c r="AS27" s="281" t="s">
        <v>194</v>
      </c>
      <c r="AT27" s="281" t="s">
        <v>194</v>
      </c>
      <c r="AU27" s="281" t="s">
        <v>194</v>
      </c>
      <c r="AV27" s="282"/>
      <c r="AW27" s="284" t="s">
        <v>181</v>
      </c>
      <c r="AX27" s="284" t="s">
        <v>182</v>
      </c>
      <c r="AY27" s="284" t="s">
        <v>183</v>
      </c>
      <c r="AZ27" s="284" t="s">
        <v>59</v>
      </c>
      <c r="BA27" s="284" t="s">
        <v>184</v>
      </c>
      <c r="BB27" s="284" t="s">
        <v>71</v>
      </c>
      <c r="BC27" s="284" t="s">
        <v>185</v>
      </c>
      <c r="BD27" s="284" t="s">
        <v>186</v>
      </c>
      <c r="BE27" s="284" t="s">
        <v>187</v>
      </c>
      <c r="BF27" s="284" t="s">
        <v>188</v>
      </c>
      <c r="BH27" s="282"/>
    </row>
    <row r="28" spans="1:60" ht="12.75">
      <c r="A28" s="281" t="s">
        <v>299</v>
      </c>
      <c r="B28" s="287">
        <f>SUM(B16:B26)</f>
        <v>100</v>
      </c>
      <c r="K28" s="284" t="s">
        <v>300</v>
      </c>
      <c r="L28" s="287">
        <f>100/(B16/L16+B17/L17+B18/L18+B19/L19+B20/L20+B21/L21+B22/L22+B23/L23+B24/L24+B25/L25+B26/L26)</f>
        <v>25.587015391884076</v>
      </c>
      <c r="U28" s="284" t="s">
        <v>301</v>
      </c>
      <c r="V28" s="287">
        <v>46.0055</v>
      </c>
      <c r="AG28" s="283" t="s">
        <v>158</v>
      </c>
      <c r="AH28" s="283" t="s">
        <v>158</v>
      </c>
      <c r="AI28" s="283" t="s">
        <v>158</v>
      </c>
      <c r="AJ28" s="283" t="s">
        <v>158</v>
      </c>
      <c r="AK28" s="283" t="s">
        <v>158</v>
      </c>
      <c r="AL28" s="283" t="s">
        <v>158</v>
      </c>
      <c r="AM28" s="283" t="s">
        <v>158</v>
      </c>
      <c r="AN28" s="283" t="s">
        <v>158</v>
      </c>
      <c r="AO28" s="283" t="s">
        <v>158</v>
      </c>
      <c r="AP28" s="283" t="s">
        <v>158</v>
      </c>
      <c r="AQ28" s="283" t="s">
        <v>158</v>
      </c>
      <c r="AR28" s="283" t="s">
        <v>158</v>
      </c>
      <c r="AS28" s="283" t="s">
        <v>158</v>
      </c>
      <c r="AT28" s="283" t="s">
        <v>158</v>
      </c>
      <c r="AU28" s="283" t="s">
        <v>158</v>
      </c>
      <c r="AV28" s="282"/>
      <c r="AX28" s="284" t="s">
        <v>110</v>
      </c>
      <c r="AY28" s="284" t="s">
        <v>196</v>
      </c>
      <c r="BA28" s="284" t="s">
        <v>197</v>
      </c>
      <c r="BB28" s="284" t="s">
        <v>196</v>
      </c>
      <c r="BD28" s="284" t="s">
        <v>198</v>
      </c>
      <c r="BF28" s="284" t="s">
        <v>199</v>
      </c>
      <c r="BH28" s="282"/>
    </row>
    <row r="29" spans="3:60" ht="12.75">
      <c r="C29" s="287">
        <f>($B16*C16*$J16/$L16+$B17*C17*$J17/$L17+$B18*C18*$J18/$L18+$B19*C19*$J19/$L19+$B20*C20*$J20/$L20+$B21*C21*$J21/$L21+$B22*C22*$J22/$L22+$B23*C23*$J23/$L23+$B24*C24*$J24/$L24+$B25*C25/$L25+$B26*C26*$J26/$L26)*10</f>
        <v>26.09081933845833</v>
      </c>
      <c r="D29" s="287">
        <f>($B16*D16*$J16/$L16+$B17*D17*$J17/$L17+$B18*D18*$J18/$L18+$B19*D19*$J19/$L19+$B20*D20*$J20/$L20+$B21*D21*$J21/$L21+$B22*D22*$J22/$L22+$B23*D23*$J23/$L23+$B24*D24*$J24/$L24+$B25*D25/$L25+$B26*D26*$J26/$L26)*10</f>
        <v>1.6433443039760416</v>
      </c>
      <c r="E29" s="287">
        <f>($B16*E16*$J16/$L16+$B17*E17*$J17/$L17+$B18*E18*$J18/$L18+$B19*E19*$J19/$L19+$B20*E20*$J20/$L20+$B21*E21*$J21/$L21+$B22*E22*$J22/$L22+$B23*E23*$J23/$L23+$B24*E24*$J24/$L24+$B25*E25/$L25+$B26*E26*$J26/$L26)*10</f>
        <v>0.34301304257564436</v>
      </c>
      <c r="F29" s="287">
        <f>($B16*F16*$J16/$L16+$B17*F17*$J17/$L17+$B18*F18*$J18/$L18+$B19*F19*$J19/$L19+$B20*F20*$J20/$L20+$B21*F21*$J21/$L21+$B22*F22*$J22/$L22+$B23*F23*$J23/$L23+$B24*F24*$J24/$L24+$B25*F25/$L25+$B26*F26*$J26/$L26)*10</f>
        <v>2.5476514162209223</v>
      </c>
      <c r="G29" s="287">
        <f>($B16*G16*$J16/$L16+$B17*G17*$J17/$L17+$B18*G18*$J18/$L18+$B19*G19*$J19/$L19+$B20*G20*$J20/$L20+$B21*G21*$J21/$L21+$B22*G22*$J22/$L22+$B23*G23*$J23/$L23+$B24*G24*$J24/$L24+$B25*G25/$L25+$B26*G26*$J26/$L26)*10</f>
        <v>0.5550574688951336</v>
      </c>
      <c r="H29" s="287">
        <f>($B16*H16*(1-I16)/$L16+$B17*H17*(1-I17)/$L17+$B18*H18*(1-I18)/$L18+$B19*H19*(1-I19)/$L19+$B20*H20*(1-I20)/$L20+$B21*H21*(1-I21)/$L21+$B22*H22*(1-I22)/$L22+$B23*H23*(1-I23)/$L23+$B24*H24*(1-I24)/$L24+$B25*H25/$L25+$B26*H26*(1-I26)/$L26)*10</f>
        <v>4.577321669066147</v>
      </c>
      <c r="I29" s="287">
        <f>($B16*I16/$L16+$B17*I17/$L17+$B18*I18/$L18+$B19*I19/$L19+$B20*I20/$L20+$B21*I21/$L21+$B22*I22/$L22+$B23*I23/$L23+$B24*I24/$L24+$B25*I25/$L25+$B26*I26/$L26)*10</f>
        <v>3.321997454496435</v>
      </c>
      <c r="J29" s="294"/>
      <c r="K29" s="298" t="s">
        <v>302</v>
      </c>
      <c r="L29" s="294">
        <f>($B16*L16/$L16+$B17*L17/$L17+$B18*L18/$L18+$B19*L19/$L19+$B20*L20/$L20+$B21*L21/$L21+$B22*L22/$L22+$B23*L23/$L23+$B24*L24/$L24+$B25*L25/$L25+$B26*L26/$L26)/100</f>
        <v>0.9999999999999999</v>
      </c>
      <c r="N29" s="294">
        <f aca="true" t="shared" si="26" ref="N29:S29">($B16*N16/$L16+$B17*N17/$L17+$B18*N18/$L18+$B19*N19/$L19+$B20*N20/$L20+$B21*N21/$L21+$B22*N22/$L22+$B23*N23/$L23+$B24*N24/$L24+$B25*N25/$L25+$B26*N26/$L26)/100</f>
        <v>2.172216593619956</v>
      </c>
      <c r="O29" s="294">
        <f t="shared" si="26"/>
        <v>1.6303504111987874</v>
      </c>
      <c r="P29" s="294">
        <f t="shared" si="26"/>
        <v>0.010697762056376134</v>
      </c>
      <c r="Q29" s="294">
        <f t="shared" si="26"/>
        <v>0.1592341847957375</v>
      </c>
      <c r="R29" s="294">
        <f t="shared" si="26"/>
        <v>0.039627997236689125</v>
      </c>
      <c r="S29" s="294">
        <f t="shared" si="26"/>
        <v>0.18439867526471584</v>
      </c>
      <c r="U29" s="283" t="s">
        <v>158</v>
      </c>
      <c r="V29" s="283" t="s">
        <v>158</v>
      </c>
      <c r="AG29" s="281" t="s">
        <v>303</v>
      </c>
      <c r="AH29" s="287">
        <f aca="true" t="shared" si="27" ref="AH29:AH36">Y37*E$5*86400/1000000</f>
        <v>17544.155824385984</v>
      </c>
      <c r="AI29" s="287">
        <f aca="true" t="shared" si="28" ref="AI29:AI38">AH29*(T$8+V$8)*365.25/100000</f>
        <v>0</v>
      </c>
      <c r="AJ29" s="287">
        <f aca="true" t="shared" si="29" ref="AJ29:AJ38">$AI29*$AA$5/100</f>
        <v>0</v>
      </c>
      <c r="AK29" s="287">
        <f aca="true" t="shared" si="30" ref="AK29:AK38">$AI29*$AA$6/100</f>
        <v>0</v>
      </c>
      <c r="AL29" s="287">
        <f aca="true" t="shared" si="31" ref="AL29:AL38">$AI29*$AA$7/100</f>
        <v>0</v>
      </c>
      <c r="AM29" s="287">
        <f aca="true" t="shared" si="32" ref="AM29:AM38">$AI29*$AA$8/100</f>
        <v>0</v>
      </c>
      <c r="AN29" s="287">
        <f aca="true" t="shared" si="33" ref="AN29:AN38">$AI29*$AA$9/100</f>
        <v>0</v>
      </c>
      <c r="AO29" s="287">
        <f aca="true" t="shared" si="34" ref="AO29:AO38">$AI29*$AA$10/100</f>
        <v>0</v>
      </c>
      <c r="AP29" s="287">
        <f aca="true" t="shared" si="35" ref="AP29:AP38">$AI29*$AA$11/100</f>
        <v>0</v>
      </c>
      <c r="AQ29" s="287">
        <f aca="true" t="shared" si="36" ref="AQ29:AQ38">$AI29*$AA$12/100</f>
        <v>0</v>
      </c>
      <c r="AR29" s="287">
        <f aca="true" t="shared" si="37" ref="AR29:AR38">$AI29*$AA$13/100</f>
        <v>0</v>
      </c>
      <c r="AS29" s="287">
        <f aca="true" t="shared" si="38" ref="AS29:AS38">$AI29*$AA$14/100</f>
        <v>0</v>
      </c>
      <c r="AT29" s="287">
        <f aca="true" t="shared" si="39" ref="AT29:AT38">$AI29*$AA$15/100</f>
        <v>0</v>
      </c>
      <c r="AU29" s="287">
        <f aca="true" t="shared" si="40" ref="AU29:AU38">$AI29*$AA$16/100</f>
        <v>0</v>
      </c>
      <c r="AV29" s="282"/>
      <c r="AW29" s="283" t="s">
        <v>158</v>
      </c>
      <c r="AX29" s="283" t="s">
        <v>158</v>
      </c>
      <c r="AY29" s="283" t="s">
        <v>158</v>
      </c>
      <c r="AZ29" s="283" t="s">
        <v>158</v>
      </c>
      <c r="BA29" s="283" t="s">
        <v>158</v>
      </c>
      <c r="BB29" s="283" t="s">
        <v>158</v>
      </c>
      <c r="BC29" s="283" t="s">
        <v>158</v>
      </c>
      <c r="BD29" s="283" t="s">
        <v>158</v>
      </c>
      <c r="BE29" s="283" t="s">
        <v>158</v>
      </c>
      <c r="BF29" s="283" t="s">
        <v>158</v>
      </c>
      <c r="BH29" s="282"/>
    </row>
    <row r="30" spans="3:60" ht="12.75">
      <c r="C30" s="298" t="s">
        <v>304</v>
      </c>
      <c r="K30" s="281" t="s">
        <v>305</v>
      </c>
      <c r="N30" s="298" t="s">
        <v>306</v>
      </c>
      <c r="AG30" s="281" t="s">
        <v>307</v>
      </c>
      <c r="AH30" s="287">
        <f t="shared" si="27"/>
        <v>311.9841106901997</v>
      </c>
      <c r="AI30" s="287">
        <f t="shared" si="28"/>
        <v>0</v>
      </c>
      <c r="AJ30" s="287">
        <f t="shared" si="29"/>
        <v>0</v>
      </c>
      <c r="AK30" s="287">
        <f t="shared" si="30"/>
        <v>0</v>
      </c>
      <c r="AL30" s="287">
        <f t="shared" si="31"/>
        <v>0</v>
      </c>
      <c r="AM30" s="287">
        <f t="shared" si="32"/>
        <v>0</v>
      </c>
      <c r="AN30" s="287">
        <f t="shared" si="33"/>
        <v>0</v>
      </c>
      <c r="AO30" s="287">
        <f t="shared" si="34"/>
        <v>0</v>
      </c>
      <c r="AP30" s="287">
        <f t="shared" si="35"/>
        <v>0</v>
      </c>
      <c r="AQ30" s="287">
        <f t="shared" si="36"/>
        <v>0</v>
      </c>
      <c r="AR30" s="287">
        <f t="shared" si="37"/>
        <v>0</v>
      </c>
      <c r="AS30" s="287">
        <f t="shared" si="38"/>
        <v>0</v>
      </c>
      <c r="AT30" s="287">
        <f t="shared" si="39"/>
        <v>0</v>
      </c>
      <c r="AU30" s="287">
        <f t="shared" si="40"/>
        <v>0</v>
      </c>
      <c r="AV30" s="282"/>
      <c r="AW30" s="281" t="s">
        <v>208</v>
      </c>
      <c r="AX30" s="291">
        <f aca="true" t="shared" si="41" ref="AX30:BF42">100*AX7/SUM(AX$7:AX$19)</f>
        <v>0</v>
      </c>
      <c r="AY30" s="291">
        <f t="shared" si="41"/>
        <v>0</v>
      </c>
      <c r="AZ30" s="291">
        <f t="shared" si="41"/>
        <v>0</v>
      </c>
      <c r="BA30" s="291">
        <f t="shared" si="41"/>
        <v>0</v>
      </c>
      <c r="BB30" s="291">
        <f t="shared" si="41"/>
        <v>0</v>
      </c>
      <c r="BC30" s="291">
        <f t="shared" si="41"/>
        <v>0</v>
      </c>
      <c r="BD30" s="291">
        <f t="shared" si="41"/>
        <v>0</v>
      </c>
      <c r="BE30" s="291">
        <f t="shared" si="41"/>
        <v>0</v>
      </c>
      <c r="BF30" s="291">
        <f t="shared" si="41"/>
        <v>0</v>
      </c>
      <c r="BH30" s="282"/>
    </row>
    <row r="31" spans="4:60" ht="12.75">
      <c r="D31" s="281" t="s">
        <v>308</v>
      </c>
      <c r="G31" s="287">
        <f>SUM(C29:G29)</f>
        <v>31.179885570126075</v>
      </c>
      <c r="AG31" s="281" t="s">
        <v>309</v>
      </c>
      <c r="AH31" s="287">
        <f t="shared" si="27"/>
        <v>23.12770163778044</v>
      </c>
      <c r="AI31" s="287">
        <f t="shared" si="28"/>
        <v>0</v>
      </c>
      <c r="AJ31" s="287">
        <f t="shared" si="29"/>
        <v>0</v>
      </c>
      <c r="AK31" s="287">
        <f t="shared" si="30"/>
        <v>0</v>
      </c>
      <c r="AL31" s="287">
        <f t="shared" si="31"/>
        <v>0</v>
      </c>
      <c r="AM31" s="287">
        <f t="shared" si="32"/>
        <v>0</v>
      </c>
      <c r="AN31" s="287">
        <f t="shared" si="33"/>
        <v>0</v>
      </c>
      <c r="AO31" s="287">
        <f t="shared" si="34"/>
        <v>0</v>
      </c>
      <c r="AP31" s="287">
        <f t="shared" si="35"/>
        <v>0</v>
      </c>
      <c r="AQ31" s="287">
        <f t="shared" si="36"/>
        <v>0</v>
      </c>
      <c r="AR31" s="287">
        <f t="shared" si="37"/>
        <v>0</v>
      </c>
      <c r="AS31" s="287">
        <f t="shared" si="38"/>
        <v>0</v>
      </c>
      <c r="AT31" s="287">
        <f t="shared" si="39"/>
        <v>0</v>
      </c>
      <c r="AU31" s="287">
        <f t="shared" si="40"/>
        <v>0</v>
      </c>
      <c r="AV31" s="282"/>
      <c r="AW31" s="281" t="s">
        <v>215</v>
      </c>
      <c r="AX31" s="291">
        <f t="shared" si="41"/>
        <v>29.706760837637585</v>
      </c>
      <c r="AY31" s="291">
        <f t="shared" si="41"/>
        <v>95.91379042836792</v>
      </c>
      <c r="AZ31" s="291">
        <f t="shared" si="41"/>
        <v>1.995249406175772</v>
      </c>
      <c r="BA31" s="291">
        <f t="shared" si="41"/>
        <v>0</v>
      </c>
      <c r="BB31" s="291">
        <f t="shared" si="41"/>
        <v>0</v>
      </c>
      <c r="BC31" s="291">
        <f t="shared" si="41"/>
        <v>0</v>
      </c>
      <c r="BD31" s="291">
        <f t="shared" si="41"/>
        <v>0</v>
      </c>
      <c r="BE31" s="291">
        <f t="shared" si="41"/>
        <v>0</v>
      </c>
      <c r="BF31" s="291">
        <f t="shared" si="41"/>
        <v>32.91396228736657</v>
      </c>
      <c r="BH31" s="282"/>
    </row>
    <row r="32" spans="14:60" ht="12.75">
      <c r="N32" s="298" t="s">
        <v>310</v>
      </c>
      <c r="O32" s="294"/>
      <c r="P32" s="294"/>
      <c r="Q32" s="294"/>
      <c r="R32" s="294"/>
      <c r="S32" s="294"/>
      <c r="U32" s="281" t="s">
        <v>311</v>
      </c>
      <c r="AG32" s="281" t="s">
        <v>312</v>
      </c>
      <c r="AH32" s="287">
        <f t="shared" si="27"/>
        <v>124.34618802674918</v>
      </c>
      <c r="AI32" s="287">
        <f t="shared" si="28"/>
        <v>0</v>
      </c>
      <c r="AJ32" s="287">
        <f t="shared" si="29"/>
        <v>0</v>
      </c>
      <c r="AK32" s="287">
        <f t="shared" si="30"/>
        <v>0</v>
      </c>
      <c r="AL32" s="287">
        <f t="shared" si="31"/>
        <v>0</v>
      </c>
      <c r="AM32" s="287">
        <f t="shared" si="32"/>
        <v>0</v>
      </c>
      <c r="AN32" s="287">
        <f t="shared" si="33"/>
        <v>0</v>
      </c>
      <c r="AO32" s="287">
        <f t="shared" si="34"/>
        <v>0</v>
      </c>
      <c r="AP32" s="287">
        <f t="shared" si="35"/>
        <v>0</v>
      </c>
      <c r="AQ32" s="287">
        <f t="shared" si="36"/>
        <v>0</v>
      </c>
      <c r="AR32" s="287">
        <f t="shared" si="37"/>
        <v>0</v>
      </c>
      <c r="AS32" s="287">
        <f t="shared" si="38"/>
        <v>0</v>
      </c>
      <c r="AT32" s="287">
        <f t="shared" si="39"/>
        <v>0</v>
      </c>
      <c r="AU32" s="287">
        <f t="shared" si="40"/>
        <v>0</v>
      </c>
      <c r="AV32" s="282"/>
      <c r="AW32" s="281" t="s">
        <v>222</v>
      </c>
      <c r="AX32" s="291">
        <f t="shared" si="41"/>
        <v>0</v>
      </c>
      <c r="AY32" s="291">
        <f t="shared" si="41"/>
        <v>0</v>
      </c>
      <c r="AZ32" s="291">
        <f t="shared" si="41"/>
        <v>0</v>
      </c>
      <c r="BA32" s="291">
        <f t="shared" si="41"/>
        <v>0</v>
      </c>
      <c r="BB32" s="291">
        <f t="shared" si="41"/>
        <v>0</v>
      </c>
      <c r="BC32" s="291">
        <f t="shared" si="41"/>
        <v>0</v>
      </c>
      <c r="BD32" s="291">
        <f t="shared" si="41"/>
        <v>0</v>
      </c>
      <c r="BE32" s="291">
        <f t="shared" si="41"/>
        <v>0</v>
      </c>
      <c r="BF32" s="291">
        <f t="shared" si="41"/>
        <v>0</v>
      </c>
      <c r="BH32" s="282"/>
    </row>
    <row r="33" spans="1:60" ht="12.75">
      <c r="A33" s="308" t="s">
        <v>313</v>
      </c>
      <c r="B33" s="309"/>
      <c r="C33" s="309"/>
      <c r="D33" s="309"/>
      <c r="E33" s="309"/>
      <c r="F33" s="309"/>
      <c r="G33" s="309"/>
      <c r="H33" s="309"/>
      <c r="I33" s="309"/>
      <c r="J33" s="309"/>
      <c r="K33" s="309"/>
      <c r="L33" s="309"/>
      <c r="M33" s="309"/>
      <c r="N33" s="283" t="s">
        <v>158</v>
      </c>
      <c r="O33" s="283" t="s">
        <v>158</v>
      </c>
      <c r="P33" s="283" t="s">
        <v>158</v>
      </c>
      <c r="Q33" s="283" t="s">
        <v>158</v>
      </c>
      <c r="R33" s="283" t="s">
        <v>158</v>
      </c>
      <c r="S33" s="281" t="s">
        <v>242</v>
      </c>
      <c r="T33" s="283" t="s">
        <v>158</v>
      </c>
      <c r="U33" s="281" t="s">
        <v>314</v>
      </c>
      <c r="V33" s="283" t="s">
        <v>158</v>
      </c>
      <c r="W33" s="283" t="s">
        <v>158</v>
      </c>
      <c r="X33" s="283" t="s">
        <v>158</v>
      </c>
      <c r="Y33" s="283" t="s">
        <v>158</v>
      </c>
      <c r="Z33" s="283" t="s">
        <v>158</v>
      </c>
      <c r="AA33" s="283" t="s">
        <v>158</v>
      </c>
      <c r="AB33" s="283" t="s">
        <v>158</v>
      </c>
      <c r="AC33" s="283" t="s">
        <v>158</v>
      </c>
      <c r="AD33" s="283" t="s">
        <v>158</v>
      </c>
      <c r="AG33" s="281" t="s">
        <v>315</v>
      </c>
      <c r="AH33" s="287">
        <f t="shared" si="27"/>
        <v>8801.09693248125</v>
      </c>
      <c r="AI33" s="287">
        <f t="shared" si="28"/>
        <v>0</v>
      </c>
      <c r="AJ33" s="287">
        <f t="shared" si="29"/>
        <v>0</v>
      </c>
      <c r="AK33" s="287">
        <f t="shared" si="30"/>
        <v>0</v>
      </c>
      <c r="AL33" s="287">
        <f t="shared" si="31"/>
        <v>0</v>
      </c>
      <c r="AM33" s="287">
        <f t="shared" si="32"/>
        <v>0</v>
      </c>
      <c r="AN33" s="287">
        <f t="shared" si="33"/>
        <v>0</v>
      </c>
      <c r="AO33" s="287">
        <f t="shared" si="34"/>
        <v>0</v>
      </c>
      <c r="AP33" s="287">
        <f t="shared" si="35"/>
        <v>0</v>
      </c>
      <c r="AQ33" s="287">
        <f t="shared" si="36"/>
        <v>0</v>
      </c>
      <c r="AR33" s="287">
        <f t="shared" si="37"/>
        <v>0</v>
      </c>
      <c r="AS33" s="287">
        <f t="shared" si="38"/>
        <v>0</v>
      </c>
      <c r="AT33" s="287">
        <f t="shared" si="39"/>
        <v>0</v>
      </c>
      <c r="AU33" s="287">
        <f t="shared" si="40"/>
        <v>0</v>
      </c>
      <c r="AV33" s="282"/>
      <c r="AW33" s="281" t="s">
        <v>225</v>
      </c>
      <c r="AX33" s="291">
        <f t="shared" si="41"/>
        <v>11.14704863116553</v>
      </c>
      <c r="AY33" s="291">
        <f t="shared" si="41"/>
        <v>0.33287727266315925</v>
      </c>
      <c r="AZ33" s="291">
        <f t="shared" si="41"/>
        <v>80.72842438638163</v>
      </c>
      <c r="BA33" s="291">
        <f t="shared" si="41"/>
        <v>9.446693657219972</v>
      </c>
      <c r="BB33" s="291">
        <f t="shared" si="41"/>
        <v>0</v>
      </c>
      <c r="BC33" s="291">
        <f t="shared" si="41"/>
        <v>0</v>
      </c>
      <c r="BD33" s="291">
        <f t="shared" si="41"/>
        <v>0</v>
      </c>
      <c r="BE33" s="291">
        <f t="shared" si="41"/>
        <v>0</v>
      </c>
      <c r="BF33" s="291">
        <f t="shared" si="41"/>
        <v>9.512750315297302</v>
      </c>
      <c r="BH33" s="282"/>
    </row>
    <row r="34" spans="1:60" ht="12.75">
      <c r="A34" s="309"/>
      <c r="B34" s="309"/>
      <c r="C34" s="309"/>
      <c r="D34" s="309"/>
      <c r="E34" s="309"/>
      <c r="F34" s="309"/>
      <c r="G34" s="309"/>
      <c r="H34" s="309"/>
      <c r="I34" s="309"/>
      <c r="J34" s="309"/>
      <c r="K34" s="309"/>
      <c r="L34" s="309"/>
      <c r="M34" s="309"/>
      <c r="P34" s="281" t="s">
        <v>316</v>
      </c>
      <c r="S34" s="281" t="s">
        <v>317</v>
      </c>
      <c r="U34" s="281" t="s">
        <v>318</v>
      </c>
      <c r="Y34" s="281" t="s">
        <v>319</v>
      </c>
      <c r="AG34" s="281" t="s">
        <v>320</v>
      </c>
      <c r="AH34" s="287">
        <f t="shared" si="27"/>
        <v>1658.0057055063587</v>
      </c>
      <c r="AI34" s="287">
        <f t="shared" si="28"/>
        <v>0</v>
      </c>
      <c r="AJ34" s="287">
        <f t="shared" si="29"/>
        <v>0</v>
      </c>
      <c r="AK34" s="287">
        <f t="shared" si="30"/>
        <v>0</v>
      </c>
      <c r="AL34" s="287">
        <f t="shared" si="31"/>
        <v>0</v>
      </c>
      <c r="AM34" s="287">
        <f t="shared" si="32"/>
        <v>0</v>
      </c>
      <c r="AN34" s="287">
        <f t="shared" si="33"/>
        <v>0</v>
      </c>
      <c r="AO34" s="287">
        <f t="shared" si="34"/>
        <v>0</v>
      </c>
      <c r="AP34" s="287">
        <f t="shared" si="35"/>
        <v>0</v>
      </c>
      <c r="AQ34" s="287">
        <f t="shared" si="36"/>
        <v>0</v>
      </c>
      <c r="AR34" s="287">
        <f t="shared" si="37"/>
        <v>0</v>
      </c>
      <c r="AS34" s="287">
        <f t="shared" si="38"/>
        <v>0</v>
      </c>
      <c r="AT34" s="287">
        <f t="shared" si="39"/>
        <v>0</v>
      </c>
      <c r="AU34" s="287">
        <f t="shared" si="40"/>
        <v>0</v>
      </c>
      <c r="AV34" s="282"/>
      <c r="AW34" s="281" t="s">
        <v>229</v>
      </c>
      <c r="AX34" s="291">
        <f t="shared" si="41"/>
        <v>11.38632650703807</v>
      </c>
      <c r="AY34" s="291">
        <f t="shared" si="41"/>
        <v>0.8279616909037054</v>
      </c>
      <c r="AZ34" s="291">
        <f t="shared" si="41"/>
        <v>2.2961203483768804</v>
      </c>
      <c r="BA34" s="291">
        <f t="shared" si="41"/>
        <v>75.87344429449692</v>
      </c>
      <c r="BB34" s="291">
        <f t="shared" si="41"/>
        <v>0</v>
      </c>
      <c r="BC34" s="291">
        <f t="shared" si="41"/>
        <v>2.0994979461433134</v>
      </c>
      <c r="BD34" s="291">
        <f t="shared" si="41"/>
        <v>0</v>
      </c>
      <c r="BE34" s="291">
        <f t="shared" si="41"/>
        <v>0</v>
      </c>
      <c r="BF34" s="291">
        <f t="shared" si="41"/>
        <v>27.273985665508015</v>
      </c>
      <c r="BH34" s="282"/>
    </row>
    <row r="35" spans="1:60" ht="12.75">
      <c r="A35" s="308" t="s">
        <v>321</v>
      </c>
      <c r="B35" s="309"/>
      <c r="C35" s="309"/>
      <c r="D35" s="309"/>
      <c r="E35" s="309"/>
      <c r="F35" s="309"/>
      <c r="G35" s="309"/>
      <c r="H35" s="308" t="s">
        <v>322</v>
      </c>
      <c r="I35" s="309"/>
      <c r="J35" s="309"/>
      <c r="K35" s="309"/>
      <c r="L35" s="309"/>
      <c r="M35" s="309"/>
      <c r="N35" s="281" t="s">
        <v>323</v>
      </c>
      <c r="O35" s="281" t="s">
        <v>324</v>
      </c>
      <c r="P35" s="281" t="s">
        <v>325</v>
      </c>
      <c r="Q35" s="281" t="s">
        <v>326</v>
      </c>
      <c r="R35" s="281" t="s">
        <v>327</v>
      </c>
      <c r="S35" s="281" t="s">
        <v>325</v>
      </c>
      <c r="T35" s="281" t="s">
        <v>328</v>
      </c>
      <c r="U35" s="281" t="s">
        <v>329</v>
      </c>
      <c r="W35" s="281" t="s">
        <v>330</v>
      </c>
      <c r="Y35" s="281" t="s">
        <v>331</v>
      </c>
      <c r="AA35" s="281" t="s">
        <v>332</v>
      </c>
      <c r="AC35" s="281" t="s">
        <v>333</v>
      </c>
      <c r="AG35" s="281" t="s">
        <v>334</v>
      </c>
      <c r="AH35" s="287">
        <f t="shared" si="27"/>
        <v>63099.77747876941</v>
      </c>
      <c r="AI35" s="287">
        <f t="shared" si="28"/>
        <v>0</v>
      </c>
      <c r="AJ35" s="287">
        <f t="shared" si="29"/>
        <v>0</v>
      </c>
      <c r="AK35" s="287">
        <f t="shared" si="30"/>
        <v>0</v>
      </c>
      <c r="AL35" s="287">
        <f t="shared" si="31"/>
        <v>0</v>
      </c>
      <c r="AM35" s="287">
        <f t="shared" si="32"/>
        <v>0</v>
      </c>
      <c r="AN35" s="287">
        <f t="shared" si="33"/>
        <v>0</v>
      </c>
      <c r="AO35" s="287">
        <f t="shared" si="34"/>
        <v>0</v>
      </c>
      <c r="AP35" s="287">
        <f t="shared" si="35"/>
        <v>0</v>
      </c>
      <c r="AQ35" s="287">
        <f t="shared" si="36"/>
        <v>0</v>
      </c>
      <c r="AR35" s="287">
        <f t="shared" si="37"/>
        <v>0</v>
      </c>
      <c r="AS35" s="287">
        <f t="shared" si="38"/>
        <v>0</v>
      </c>
      <c r="AT35" s="287">
        <f t="shared" si="39"/>
        <v>0</v>
      </c>
      <c r="AU35" s="287">
        <f t="shared" si="40"/>
        <v>0</v>
      </c>
      <c r="AV35" s="282"/>
      <c r="AW35" s="281" t="s">
        <v>240</v>
      </c>
      <c r="AX35" s="291">
        <v>0</v>
      </c>
      <c r="AY35" s="291">
        <f t="shared" si="41"/>
        <v>0</v>
      </c>
      <c r="AZ35" s="291">
        <f t="shared" si="41"/>
        <v>0</v>
      </c>
      <c r="BA35" s="291">
        <f t="shared" si="41"/>
        <v>0</v>
      </c>
      <c r="BB35" s="291">
        <f t="shared" si="41"/>
        <v>0</v>
      </c>
      <c r="BC35" s="291">
        <f t="shared" si="41"/>
        <v>0</v>
      </c>
      <c r="BD35" s="291">
        <f t="shared" si="41"/>
        <v>0</v>
      </c>
      <c r="BE35" s="291">
        <f t="shared" si="41"/>
        <v>0</v>
      </c>
      <c r="BF35" s="291">
        <f t="shared" si="41"/>
        <v>0</v>
      </c>
      <c r="BH35" s="282"/>
    </row>
    <row r="36" spans="1:60" ht="12.75">
      <c r="A36" s="310" t="s">
        <v>158</v>
      </c>
      <c r="B36" s="310" t="s">
        <v>158</v>
      </c>
      <c r="C36" s="310" t="s">
        <v>158</v>
      </c>
      <c r="D36" s="310" t="s">
        <v>158</v>
      </c>
      <c r="E36" s="310" t="s">
        <v>158</v>
      </c>
      <c r="F36" s="310" t="s">
        <v>158</v>
      </c>
      <c r="G36" s="309"/>
      <c r="H36" s="310" t="s">
        <v>158</v>
      </c>
      <c r="I36" s="310" t="s">
        <v>158</v>
      </c>
      <c r="J36" s="310" t="s">
        <v>158</v>
      </c>
      <c r="K36" s="310" t="s">
        <v>158</v>
      </c>
      <c r="L36" s="310" t="s">
        <v>158</v>
      </c>
      <c r="M36" s="309"/>
      <c r="N36" s="283" t="s">
        <v>158</v>
      </c>
      <c r="O36" s="283" t="s">
        <v>158</v>
      </c>
      <c r="P36" s="283" t="s">
        <v>158</v>
      </c>
      <c r="Q36" s="283" t="s">
        <v>158</v>
      </c>
      <c r="R36" s="283" t="s">
        <v>158</v>
      </c>
      <c r="S36" s="283" t="s">
        <v>158</v>
      </c>
      <c r="T36" s="283" t="s">
        <v>158</v>
      </c>
      <c r="U36" s="283" t="s">
        <v>158</v>
      </c>
      <c r="V36" s="283" t="s">
        <v>158</v>
      </c>
      <c r="W36" s="299" t="s">
        <v>158</v>
      </c>
      <c r="X36" s="283" t="s">
        <v>158</v>
      </c>
      <c r="Y36" s="283" t="s">
        <v>158</v>
      </c>
      <c r="Z36" s="283" t="s">
        <v>158</v>
      </c>
      <c r="AA36" s="283" t="s">
        <v>158</v>
      </c>
      <c r="AB36" s="283" t="s">
        <v>158</v>
      </c>
      <c r="AC36" s="283" t="s">
        <v>158</v>
      </c>
      <c r="AD36" s="283" t="s">
        <v>158</v>
      </c>
      <c r="AG36" s="281" t="s">
        <v>335</v>
      </c>
      <c r="AH36" s="287">
        <f t="shared" si="27"/>
        <v>29767.690542920525</v>
      </c>
      <c r="AI36" s="287">
        <f t="shared" si="28"/>
        <v>0</v>
      </c>
      <c r="AJ36" s="287">
        <f t="shared" si="29"/>
        <v>0</v>
      </c>
      <c r="AK36" s="287">
        <f t="shared" si="30"/>
        <v>0</v>
      </c>
      <c r="AL36" s="287">
        <f t="shared" si="31"/>
        <v>0</v>
      </c>
      <c r="AM36" s="287">
        <f t="shared" si="32"/>
        <v>0</v>
      </c>
      <c r="AN36" s="287">
        <f t="shared" si="33"/>
        <v>0</v>
      </c>
      <c r="AO36" s="287">
        <f t="shared" si="34"/>
        <v>0</v>
      </c>
      <c r="AP36" s="287">
        <f t="shared" si="35"/>
        <v>0</v>
      </c>
      <c r="AQ36" s="287">
        <f t="shared" si="36"/>
        <v>0</v>
      </c>
      <c r="AR36" s="287">
        <f t="shared" si="37"/>
        <v>0</v>
      </c>
      <c r="AS36" s="287">
        <f t="shared" si="38"/>
        <v>0</v>
      </c>
      <c r="AT36" s="287">
        <f t="shared" si="39"/>
        <v>0</v>
      </c>
      <c r="AU36" s="287">
        <f t="shared" si="40"/>
        <v>0</v>
      </c>
      <c r="AV36" s="282"/>
      <c r="AW36" s="281" t="s">
        <v>245</v>
      </c>
      <c r="AX36" s="291">
        <f>100*AX13/SUM(AX$7:AX$19)</f>
        <v>0</v>
      </c>
      <c r="AY36" s="291">
        <f t="shared" si="41"/>
        <v>0</v>
      </c>
      <c r="AZ36" s="291">
        <f t="shared" si="41"/>
        <v>0</v>
      </c>
      <c r="BA36" s="291">
        <f t="shared" si="41"/>
        <v>0</v>
      </c>
      <c r="BB36" s="291">
        <f t="shared" si="41"/>
        <v>0</v>
      </c>
      <c r="BC36" s="291">
        <f t="shared" si="41"/>
        <v>0</v>
      </c>
      <c r="BD36" s="291">
        <f t="shared" si="41"/>
        <v>0</v>
      </c>
      <c r="BE36" s="291">
        <f t="shared" si="41"/>
        <v>0</v>
      </c>
      <c r="BF36" s="291">
        <f t="shared" si="41"/>
        <v>0</v>
      </c>
      <c r="BH36" s="282"/>
    </row>
    <row r="37" spans="1:60" ht="12.75">
      <c r="A37" s="311" t="s">
        <v>336</v>
      </c>
      <c r="B37" s="312" t="s">
        <v>159</v>
      </c>
      <c r="C37" s="312" t="s">
        <v>160</v>
      </c>
      <c r="D37" s="312" t="s">
        <v>161</v>
      </c>
      <c r="E37" s="312" t="s">
        <v>162</v>
      </c>
      <c r="F37" s="311" t="s">
        <v>163</v>
      </c>
      <c r="G37" s="309"/>
      <c r="H37" s="311" t="s">
        <v>159</v>
      </c>
      <c r="I37" s="311" t="s">
        <v>160</v>
      </c>
      <c r="J37" s="311" t="s">
        <v>161</v>
      </c>
      <c r="K37" s="311" t="s">
        <v>162</v>
      </c>
      <c r="L37" s="311" t="s">
        <v>163</v>
      </c>
      <c r="M37" s="309"/>
      <c r="N37" s="281" t="s">
        <v>200</v>
      </c>
      <c r="O37" s="281" t="s">
        <v>337</v>
      </c>
      <c r="P37" s="287">
        <f>D94</f>
        <v>6.350244510160434</v>
      </c>
      <c r="Q37" s="287">
        <f>P37/1000</f>
        <v>0.0063502445101604335</v>
      </c>
      <c r="R37" s="287">
        <f>(P37/10)/Q$51</f>
        <v>0.049699292920646225</v>
      </c>
      <c r="U37" s="286">
        <f>P37*100/R77</f>
        <v>6.7672026380816375</v>
      </c>
      <c r="V37" s="281" t="s">
        <v>338</v>
      </c>
      <c r="W37" s="300">
        <f>U37/U48*1000</f>
        <v>418.40383050114093</v>
      </c>
      <c r="X37" s="281" t="s">
        <v>339</v>
      </c>
      <c r="Y37" s="300">
        <f>P37*V27*100/R77</f>
        <v>203.05735907854145</v>
      </c>
      <c r="Z37" s="281" t="s">
        <v>340</v>
      </c>
      <c r="AA37" s="300">
        <f>P37*V27</f>
        <v>190.546071796325</v>
      </c>
      <c r="AB37" s="281" t="s">
        <v>341</v>
      </c>
      <c r="AC37" s="281" t="s">
        <v>200</v>
      </c>
      <c r="AD37" s="281" t="s">
        <v>342</v>
      </c>
      <c r="AG37" s="281" t="s">
        <v>343</v>
      </c>
      <c r="AH37" s="287">
        <f>Y45*E$5*86400/1000</f>
        <v>421447.91473987146</v>
      </c>
      <c r="AI37" s="287">
        <f t="shared" si="28"/>
        <v>0</v>
      </c>
      <c r="AJ37" s="287">
        <f t="shared" si="29"/>
        <v>0</v>
      </c>
      <c r="AK37" s="287">
        <f t="shared" si="30"/>
        <v>0</v>
      </c>
      <c r="AL37" s="287">
        <f t="shared" si="31"/>
        <v>0</v>
      </c>
      <c r="AM37" s="287">
        <f t="shared" si="32"/>
        <v>0</v>
      </c>
      <c r="AN37" s="287">
        <f t="shared" si="33"/>
        <v>0</v>
      </c>
      <c r="AO37" s="287">
        <f t="shared" si="34"/>
        <v>0</v>
      </c>
      <c r="AP37" s="287">
        <f t="shared" si="35"/>
        <v>0</v>
      </c>
      <c r="AQ37" s="287">
        <f t="shared" si="36"/>
        <v>0</v>
      </c>
      <c r="AR37" s="287">
        <f t="shared" si="37"/>
        <v>0</v>
      </c>
      <c r="AS37" s="287">
        <f t="shared" si="38"/>
        <v>0</v>
      </c>
      <c r="AT37" s="287">
        <f t="shared" si="39"/>
        <v>0</v>
      </c>
      <c r="AU37" s="287">
        <f t="shared" si="40"/>
        <v>0</v>
      </c>
      <c r="AV37" s="282"/>
      <c r="AW37" s="281" t="s">
        <v>266</v>
      </c>
      <c r="AX37" s="291">
        <f>100*AX14/SUM(AX$7:AX$19)</f>
        <v>16.51611412729583</v>
      </c>
      <c r="AY37" s="291">
        <f t="shared" si="41"/>
        <v>2.8915186820316796</v>
      </c>
      <c r="AZ37" s="291">
        <f t="shared" si="41"/>
        <v>9.026128266033254</v>
      </c>
      <c r="BA37" s="291">
        <f t="shared" si="41"/>
        <v>5.248163142899985</v>
      </c>
      <c r="BB37" s="291">
        <f t="shared" si="41"/>
        <v>95.66043712385176</v>
      </c>
      <c r="BC37" s="291">
        <f t="shared" si="41"/>
        <v>0.7606876616461281</v>
      </c>
      <c r="BD37" s="291">
        <f t="shared" si="41"/>
        <v>6.876701451905626</v>
      </c>
      <c r="BE37" s="291">
        <f t="shared" si="41"/>
        <v>54.34782608695652</v>
      </c>
      <c r="BF37" s="291">
        <f t="shared" si="41"/>
        <v>13.473192039127627</v>
      </c>
      <c r="BH37" s="282"/>
    </row>
    <row r="38" spans="1:60" ht="12.75">
      <c r="A38" s="310" t="s">
        <v>158</v>
      </c>
      <c r="B38" s="310" t="s">
        <v>158</v>
      </c>
      <c r="C38" s="310" t="s">
        <v>158</v>
      </c>
      <c r="D38" s="310" t="s">
        <v>158</v>
      </c>
      <c r="E38" s="310" t="s">
        <v>158</v>
      </c>
      <c r="F38" s="310" t="s">
        <v>158</v>
      </c>
      <c r="G38" s="309"/>
      <c r="H38" s="310" t="s">
        <v>158</v>
      </c>
      <c r="I38" s="310" t="s">
        <v>158</v>
      </c>
      <c r="J38" s="310" t="s">
        <v>158</v>
      </c>
      <c r="K38" s="310" t="s">
        <v>158</v>
      </c>
      <c r="L38" s="310" t="s">
        <v>158</v>
      </c>
      <c r="M38" s="309"/>
      <c r="N38" s="281" t="s">
        <v>205</v>
      </c>
      <c r="O38" s="281" t="s">
        <v>337</v>
      </c>
      <c r="P38" s="287">
        <f>J94</f>
        <v>0.1209699742737401</v>
      </c>
      <c r="Q38" s="287">
        <f>P38/1000</f>
        <v>0.0001209699742737401</v>
      </c>
      <c r="R38" s="287">
        <f>(P38/10)/Q$51</f>
        <v>0.0009467544401501723</v>
      </c>
      <c r="U38" s="286">
        <f>P38*100/R77</f>
        <v>0.1289128832321513</v>
      </c>
      <c r="V38" s="281" t="s">
        <v>338</v>
      </c>
      <c r="W38" s="300">
        <f>U38/U48*1000</f>
        <v>7.97044909542839</v>
      </c>
      <c r="X38" s="281" t="s">
        <v>339</v>
      </c>
      <c r="Y38" s="300">
        <f>P38*V26*100/R77</f>
        <v>3.610927207062497</v>
      </c>
      <c r="Z38" s="281" t="s">
        <v>340</v>
      </c>
      <c r="AA38" s="300">
        <f>P38*V26</f>
        <v>3.3884415613920242</v>
      </c>
      <c r="AB38" s="281" t="s">
        <v>341</v>
      </c>
      <c r="AC38" s="281" t="s">
        <v>205</v>
      </c>
      <c r="AD38" s="281" t="s">
        <v>342</v>
      </c>
      <c r="AG38" s="281" t="s">
        <v>344</v>
      </c>
      <c r="AH38" s="287">
        <f>Y46*E$5*86400/1000000</f>
        <v>1470.741668712271</v>
      </c>
      <c r="AI38" s="287">
        <f t="shared" si="28"/>
        <v>0</v>
      </c>
      <c r="AJ38" s="287">
        <f t="shared" si="29"/>
        <v>0</v>
      </c>
      <c r="AK38" s="287">
        <f t="shared" si="30"/>
        <v>0</v>
      </c>
      <c r="AL38" s="287">
        <f t="shared" si="31"/>
        <v>0</v>
      </c>
      <c r="AM38" s="287">
        <f t="shared" si="32"/>
        <v>0</v>
      </c>
      <c r="AN38" s="287">
        <f t="shared" si="33"/>
        <v>0</v>
      </c>
      <c r="AO38" s="287">
        <f t="shared" si="34"/>
        <v>0</v>
      </c>
      <c r="AP38" s="287">
        <f t="shared" si="35"/>
        <v>0</v>
      </c>
      <c r="AQ38" s="287">
        <f t="shared" si="36"/>
        <v>0</v>
      </c>
      <c r="AR38" s="287">
        <f t="shared" si="37"/>
        <v>0</v>
      </c>
      <c r="AS38" s="287">
        <f t="shared" si="38"/>
        <v>0</v>
      </c>
      <c r="AT38" s="287">
        <f t="shared" si="39"/>
        <v>0</v>
      </c>
      <c r="AU38" s="287">
        <f t="shared" si="40"/>
        <v>0</v>
      </c>
      <c r="AV38" s="282"/>
      <c r="AW38" s="281" t="s">
        <v>269</v>
      </c>
      <c r="AX38" s="291">
        <v>0</v>
      </c>
      <c r="AY38" s="291">
        <f t="shared" si="41"/>
        <v>0</v>
      </c>
      <c r="AZ38" s="291">
        <f t="shared" si="41"/>
        <v>0</v>
      </c>
      <c r="BA38" s="291">
        <f t="shared" si="41"/>
        <v>0</v>
      </c>
      <c r="BB38" s="291">
        <f t="shared" si="41"/>
        <v>0</v>
      </c>
      <c r="BC38" s="291">
        <f t="shared" si="41"/>
        <v>0</v>
      </c>
      <c r="BD38" s="291">
        <f t="shared" si="41"/>
        <v>0</v>
      </c>
      <c r="BE38" s="291">
        <f t="shared" si="41"/>
        <v>0</v>
      </c>
      <c r="BF38" s="291">
        <f t="shared" si="41"/>
        <v>0</v>
      </c>
      <c r="BH38" s="282"/>
    </row>
    <row r="39" spans="1:60" ht="12.75">
      <c r="A39" s="308" t="s">
        <v>345</v>
      </c>
      <c r="B39" s="313">
        <v>1.6</v>
      </c>
      <c r="C39" s="313">
        <v>1.8</v>
      </c>
      <c r="D39" s="313">
        <v>2</v>
      </c>
      <c r="E39" s="313">
        <v>2.2</v>
      </c>
      <c r="F39" s="313">
        <v>2.4</v>
      </c>
      <c r="G39" s="309"/>
      <c r="H39" s="313">
        <v>0.16</v>
      </c>
      <c r="I39" s="313">
        <v>0.16</v>
      </c>
      <c r="J39" s="313">
        <v>0.16</v>
      </c>
      <c r="K39" s="313">
        <v>0.16</v>
      </c>
      <c r="L39" s="313">
        <v>0.16</v>
      </c>
      <c r="M39" s="309"/>
      <c r="N39" s="281" t="s">
        <v>346</v>
      </c>
      <c r="O39" s="281" t="s">
        <v>341</v>
      </c>
      <c r="P39" s="287">
        <f>Q94</f>
        <v>0.2511886431509582</v>
      </c>
      <c r="U39" s="286"/>
      <c r="W39" s="300"/>
      <c r="Y39" s="300">
        <f>P39*100/R77</f>
        <v>0.26768173191875505</v>
      </c>
      <c r="Z39" s="281" t="s">
        <v>340</v>
      </c>
      <c r="AA39" s="300">
        <f>P39</f>
        <v>0.2511886431509582</v>
      </c>
      <c r="AB39" s="281" t="s">
        <v>341</v>
      </c>
      <c r="AC39" s="281" t="s">
        <v>346</v>
      </c>
      <c r="AD39" s="281" t="s">
        <v>342</v>
      </c>
      <c r="AG39" s="283" t="s">
        <v>158</v>
      </c>
      <c r="AV39" s="282"/>
      <c r="AW39" s="281" t="s">
        <v>272</v>
      </c>
      <c r="AX39" s="291">
        <f>100*AX16/SUM(AX$7:AX$19)</f>
        <v>8.056898628690242</v>
      </c>
      <c r="AY39" s="291">
        <f t="shared" si="41"/>
        <v>0.03385192603354162</v>
      </c>
      <c r="AZ39" s="291">
        <f t="shared" si="41"/>
        <v>5.954077593032462</v>
      </c>
      <c r="BA39" s="291">
        <f t="shared" si="41"/>
        <v>3.4188034188034186</v>
      </c>
      <c r="BB39" s="291">
        <f t="shared" si="41"/>
        <v>4.339562876148242</v>
      </c>
      <c r="BC39" s="291">
        <f t="shared" si="41"/>
        <v>97.13981439221055</v>
      </c>
      <c r="BD39" s="291">
        <f t="shared" si="41"/>
        <v>0.172980943738657</v>
      </c>
      <c r="BE39" s="291">
        <f t="shared" si="41"/>
        <v>0</v>
      </c>
      <c r="BF39" s="291">
        <f t="shared" si="41"/>
        <v>11.6429296502507</v>
      </c>
      <c r="BH39" s="282"/>
    </row>
    <row r="40" spans="1:60" ht="12.75">
      <c r="A40" s="308" t="s">
        <v>347</v>
      </c>
      <c r="B40" s="313">
        <v>1.6</v>
      </c>
      <c r="C40" s="313">
        <v>1.8</v>
      </c>
      <c r="D40" s="313">
        <v>2</v>
      </c>
      <c r="E40" s="313">
        <v>2.2</v>
      </c>
      <c r="F40" s="313">
        <v>2.4</v>
      </c>
      <c r="G40" s="309"/>
      <c r="H40" s="313">
        <v>0.16</v>
      </c>
      <c r="I40" s="313">
        <v>0.16</v>
      </c>
      <c r="J40" s="313">
        <v>0.16</v>
      </c>
      <c r="K40" s="313">
        <v>0.16</v>
      </c>
      <c r="L40" s="313">
        <v>0.16</v>
      </c>
      <c r="M40" s="309"/>
      <c r="N40" s="281" t="s">
        <v>282</v>
      </c>
      <c r="O40" s="281" t="s">
        <v>337</v>
      </c>
      <c r="P40" s="287">
        <f>V94</f>
        <v>0.11243859479359096</v>
      </c>
      <c r="U40" s="286">
        <f>P40*100/R77</f>
        <v>0.11982133193327348</v>
      </c>
      <c r="V40" s="281" t="s">
        <v>338</v>
      </c>
      <c r="W40" s="300"/>
      <c r="Y40" s="300">
        <f>P40*V19*100/R77</f>
        <v>1.4391919910503377</v>
      </c>
      <c r="Z40" s="281" t="s">
        <v>340</v>
      </c>
      <c r="AA40" s="300">
        <f>P40*V19</f>
        <v>1.3505168278550401</v>
      </c>
      <c r="AB40" s="281" t="s">
        <v>341</v>
      </c>
      <c r="AC40" s="281" t="s">
        <v>282</v>
      </c>
      <c r="AD40" s="281" t="s">
        <v>342</v>
      </c>
      <c r="AG40" s="281" t="s">
        <v>348</v>
      </c>
      <c r="AH40" s="287">
        <f aca="true" t="shared" si="42" ref="AH40:AU40">(AH29+AH30+AH31+AH32+AH35+AH37)/1000+AH33+AH34+AH36+AH38</f>
        <v>42200.08615566378</v>
      </c>
      <c r="AI40" s="287">
        <f t="shared" si="42"/>
        <v>0</v>
      </c>
      <c r="AJ40" s="287">
        <f t="shared" si="42"/>
        <v>0</v>
      </c>
      <c r="AK40" s="287">
        <f t="shared" si="42"/>
        <v>0</v>
      </c>
      <c r="AL40" s="287">
        <f t="shared" si="42"/>
        <v>0</v>
      </c>
      <c r="AM40" s="287">
        <f t="shared" si="42"/>
        <v>0</v>
      </c>
      <c r="AN40" s="287">
        <f t="shared" si="42"/>
        <v>0</v>
      </c>
      <c r="AO40" s="287">
        <f t="shared" si="42"/>
        <v>0</v>
      </c>
      <c r="AP40" s="287">
        <f t="shared" si="42"/>
        <v>0</v>
      </c>
      <c r="AQ40" s="287">
        <f t="shared" si="42"/>
        <v>0</v>
      </c>
      <c r="AR40" s="287">
        <f t="shared" si="42"/>
        <v>0</v>
      </c>
      <c r="AS40" s="287">
        <f t="shared" si="42"/>
        <v>0</v>
      </c>
      <c r="AT40" s="287">
        <f t="shared" si="42"/>
        <v>0</v>
      </c>
      <c r="AU40" s="287">
        <f t="shared" si="42"/>
        <v>0</v>
      </c>
      <c r="AV40" s="282"/>
      <c r="AW40" s="281" t="s">
        <v>275</v>
      </c>
      <c r="AX40" s="291">
        <v>0</v>
      </c>
      <c r="AY40" s="291">
        <f t="shared" si="41"/>
        <v>0</v>
      </c>
      <c r="AZ40" s="291">
        <f t="shared" si="41"/>
        <v>0</v>
      </c>
      <c r="BA40" s="291">
        <f t="shared" si="41"/>
        <v>0</v>
      </c>
      <c r="BB40" s="291">
        <f t="shared" si="41"/>
        <v>0</v>
      </c>
      <c r="BC40" s="291">
        <f t="shared" si="41"/>
        <v>0</v>
      </c>
      <c r="BD40" s="291">
        <f t="shared" si="41"/>
        <v>0</v>
      </c>
      <c r="BE40" s="291">
        <f t="shared" si="41"/>
        <v>0</v>
      </c>
      <c r="BF40" s="291">
        <f t="shared" si="41"/>
        <v>0</v>
      </c>
      <c r="BH40" s="282"/>
    </row>
    <row r="41" spans="1:60" ht="12.75">
      <c r="A41" s="308" t="s">
        <v>349</v>
      </c>
      <c r="B41" s="313">
        <v>1.6</v>
      </c>
      <c r="C41" s="313">
        <v>1.8</v>
      </c>
      <c r="D41" s="313">
        <v>2</v>
      </c>
      <c r="E41" s="313">
        <v>2.2</v>
      </c>
      <c r="F41" s="313">
        <v>2.4</v>
      </c>
      <c r="G41" s="309"/>
      <c r="H41" s="313">
        <v>0.16</v>
      </c>
      <c r="I41" s="313">
        <v>0.16</v>
      </c>
      <c r="J41" s="313">
        <v>0.16</v>
      </c>
      <c r="K41" s="313">
        <v>0.16</v>
      </c>
      <c r="L41" s="313">
        <v>0.16</v>
      </c>
      <c r="M41" s="309"/>
      <c r="N41" s="281" t="s">
        <v>293</v>
      </c>
      <c r="O41" s="281" t="s">
        <v>350</v>
      </c>
      <c r="P41" s="287">
        <f>N29-P40/1000-P38/1000-((P39/1000)*(C29/SUM(C29:G29))/$V$19)</f>
        <v>2.1719656854312204</v>
      </c>
      <c r="Q41" s="287">
        <f>2*P41</f>
        <v>4.343931370862441</v>
      </c>
      <c r="R41" s="287">
        <f>(P41*100)/Q$51</f>
        <v>16.99858306890788</v>
      </c>
      <c r="S41" s="287">
        <f>N29</f>
        <v>2.172216593619956</v>
      </c>
      <c r="T41" s="287">
        <f>S41*100/S51</f>
        <v>17.019667236679645</v>
      </c>
      <c r="U41" s="286">
        <f>P41*100/R77</f>
        <v>2.3145773194647603</v>
      </c>
      <c r="V41" s="281" t="s">
        <v>351</v>
      </c>
      <c r="W41" s="300">
        <f>U41/U48*100</f>
        <v>14.310610576450067</v>
      </c>
      <c r="X41" s="281" t="s">
        <v>110</v>
      </c>
      <c r="Y41" s="300">
        <f>P41*V23*100/R77</f>
        <v>101.86454782964411</v>
      </c>
      <c r="Z41" s="281" t="s">
        <v>352</v>
      </c>
      <c r="AA41" s="300">
        <f>P41*V23</f>
        <v>95.58820981582801</v>
      </c>
      <c r="AB41" s="281" t="s">
        <v>353</v>
      </c>
      <c r="AC41" s="281" t="s">
        <v>293</v>
      </c>
      <c r="AD41" s="281" t="s">
        <v>354</v>
      </c>
      <c r="AG41" s="283" t="s">
        <v>158</v>
      </c>
      <c r="AH41" s="283" t="s">
        <v>158</v>
      </c>
      <c r="AI41" s="283" t="s">
        <v>158</v>
      </c>
      <c r="AJ41" s="283" t="s">
        <v>158</v>
      </c>
      <c r="AK41" s="283" t="s">
        <v>158</v>
      </c>
      <c r="AL41" s="283" t="s">
        <v>158</v>
      </c>
      <c r="AM41" s="283" t="s">
        <v>158</v>
      </c>
      <c r="AN41" s="283" t="s">
        <v>158</v>
      </c>
      <c r="AO41" s="283" t="s">
        <v>158</v>
      </c>
      <c r="AP41" s="283" t="s">
        <v>158</v>
      </c>
      <c r="AQ41" s="283" t="s">
        <v>158</v>
      </c>
      <c r="AR41" s="283" t="s">
        <v>158</v>
      </c>
      <c r="AS41" s="283" t="s">
        <v>158</v>
      </c>
      <c r="AT41" s="283" t="s">
        <v>158</v>
      </c>
      <c r="AU41" s="283" t="s">
        <v>158</v>
      </c>
      <c r="AV41" s="282"/>
      <c r="AW41" s="284" t="s">
        <v>281</v>
      </c>
      <c r="AX41" s="291">
        <f>100*AX18/SUM(AX$7:AX$19)</f>
        <v>21.63600059406921</v>
      </c>
      <c r="AY41" s="291">
        <f t="shared" si="41"/>
        <v>0</v>
      </c>
      <c r="AZ41" s="291">
        <f t="shared" si="41"/>
        <v>0</v>
      </c>
      <c r="BA41" s="291">
        <f t="shared" si="41"/>
        <v>0</v>
      </c>
      <c r="BB41" s="291">
        <f t="shared" si="41"/>
        <v>0</v>
      </c>
      <c r="BC41" s="291">
        <f t="shared" si="41"/>
        <v>0</v>
      </c>
      <c r="BD41" s="291">
        <f t="shared" si="41"/>
        <v>92.95031760435572</v>
      </c>
      <c r="BE41" s="291">
        <f t="shared" si="41"/>
        <v>0</v>
      </c>
      <c r="BF41" s="291">
        <f t="shared" si="41"/>
        <v>0</v>
      </c>
      <c r="BH41" s="282"/>
    </row>
    <row r="42" spans="1:60" ht="12.75">
      <c r="A42" s="308" t="s">
        <v>355</v>
      </c>
      <c r="B42" s="313">
        <v>1.5</v>
      </c>
      <c r="C42" s="313">
        <v>1.7</v>
      </c>
      <c r="D42" s="313">
        <v>1.9</v>
      </c>
      <c r="E42" s="313">
        <v>2.1</v>
      </c>
      <c r="F42" s="313">
        <v>2.3</v>
      </c>
      <c r="G42" s="309"/>
      <c r="H42" s="313">
        <v>0.16</v>
      </c>
      <c r="I42" s="313">
        <v>0.16</v>
      </c>
      <c r="J42" s="313">
        <v>0.16</v>
      </c>
      <c r="K42" s="313">
        <v>0.16</v>
      </c>
      <c r="L42" s="313">
        <v>0.16</v>
      </c>
      <c r="M42" s="309"/>
      <c r="N42" s="281" t="s">
        <v>294</v>
      </c>
      <c r="O42" s="281" t="s">
        <v>350</v>
      </c>
      <c r="P42" s="287">
        <f>O29/2-((P39/1000)*(D29/SUM(C29:G29))/$V$18)+S29</f>
        <v>0.9995673137215406</v>
      </c>
      <c r="Q42" s="287">
        <f>O29/2-P39/1000*D29/SUM(C29:G29)*$V$18</f>
        <v>0.8151485166395042</v>
      </c>
      <c r="R42" s="287">
        <f>(P42*100)/Q$51</f>
        <v>7.82297258618397</v>
      </c>
      <c r="S42" s="287">
        <f>O29/2+S29</f>
        <v>0.9995738808641096</v>
      </c>
      <c r="T42" s="287">
        <f>S42*100/S51</f>
        <v>7.831822517492492</v>
      </c>
      <c r="U42" s="286">
        <f>P42*100/R77</f>
        <v>1.0651990724977127</v>
      </c>
      <c r="V42" s="281" t="s">
        <v>351</v>
      </c>
      <c r="W42" s="300">
        <f>U42/U48*100</f>
        <v>6.585932120183231</v>
      </c>
      <c r="X42" s="281" t="s">
        <v>110</v>
      </c>
      <c r="Y42" s="300">
        <f>P42*V24*100/R77</f>
        <v>19.18988085076804</v>
      </c>
      <c r="Z42" s="281" t="s">
        <v>352</v>
      </c>
      <c r="AA42" s="300">
        <f>P42*V24</f>
        <v>18.00750502688767</v>
      </c>
      <c r="AB42" s="281" t="s">
        <v>353</v>
      </c>
      <c r="AC42" s="281" t="s">
        <v>294</v>
      </c>
      <c r="AD42" s="281" t="s">
        <v>354</v>
      </c>
      <c r="AG42" s="281" t="s">
        <v>356</v>
      </c>
      <c r="AH42" s="287">
        <f aca="true" t="shared" si="43" ref="AH42:AU42">AH40/$Y49</f>
        <v>31321.794760463992</v>
      </c>
      <c r="AI42" s="287">
        <f t="shared" si="43"/>
        <v>0</v>
      </c>
      <c r="AJ42" s="287">
        <f t="shared" si="43"/>
        <v>0</v>
      </c>
      <c r="AK42" s="287">
        <f t="shared" si="43"/>
        <v>0</v>
      </c>
      <c r="AL42" s="287">
        <f t="shared" si="43"/>
        <v>0</v>
      </c>
      <c r="AM42" s="287">
        <f t="shared" si="43"/>
        <v>0</v>
      </c>
      <c r="AN42" s="287">
        <f t="shared" si="43"/>
        <v>0</v>
      </c>
      <c r="AO42" s="287">
        <f t="shared" si="43"/>
        <v>0</v>
      </c>
      <c r="AP42" s="287">
        <f t="shared" si="43"/>
        <v>0</v>
      </c>
      <c r="AQ42" s="287">
        <f t="shared" si="43"/>
        <v>0</v>
      </c>
      <c r="AR42" s="287">
        <f t="shared" si="43"/>
        <v>0</v>
      </c>
      <c r="AS42" s="287">
        <f t="shared" si="43"/>
        <v>0</v>
      </c>
      <c r="AT42" s="287">
        <f t="shared" si="43"/>
        <v>0</v>
      </c>
      <c r="AU42" s="287">
        <f t="shared" si="43"/>
        <v>0</v>
      </c>
      <c r="AV42" s="282"/>
      <c r="AW42" s="284" t="s">
        <v>285</v>
      </c>
      <c r="AX42" s="291">
        <f>100*AX19/SUM(AX$7:AX$19)</f>
        <v>1.550850674103533</v>
      </c>
      <c r="AY42" s="291">
        <f t="shared" si="41"/>
        <v>0</v>
      </c>
      <c r="AZ42" s="291">
        <f t="shared" si="41"/>
        <v>0</v>
      </c>
      <c r="BA42" s="291">
        <f t="shared" si="41"/>
        <v>6.012895486579697</v>
      </c>
      <c r="BB42" s="291">
        <f t="shared" si="41"/>
        <v>0</v>
      </c>
      <c r="BC42" s="291">
        <f t="shared" si="41"/>
        <v>0</v>
      </c>
      <c r="BD42" s="291">
        <f t="shared" si="41"/>
        <v>0</v>
      </c>
      <c r="BE42" s="291">
        <f t="shared" si="41"/>
        <v>45.65217391304348</v>
      </c>
      <c r="BF42" s="291">
        <f t="shared" si="41"/>
        <v>5.183180042449783</v>
      </c>
      <c r="BH42" s="282"/>
    </row>
    <row r="43" spans="1:60" ht="12.75">
      <c r="A43" s="308" t="s">
        <v>357</v>
      </c>
      <c r="B43" s="313">
        <v>1.5</v>
      </c>
      <c r="C43" s="313">
        <v>1.7</v>
      </c>
      <c r="D43" s="313">
        <v>1.9</v>
      </c>
      <c r="E43" s="313">
        <v>2.1</v>
      </c>
      <c r="F43" s="313">
        <v>2.3</v>
      </c>
      <c r="G43" s="309"/>
      <c r="H43" s="313">
        <v>0.16</v>
      </c>
      <c r="I43" s="313">
        <v>0.16</v>
      </c>
      <c r="J43" s="313">
        <v>0.16</v>
      </c>
      <c r="K43" s="313">
        <v>0.16</v>
      </c>
      <c r="L43" s="313">
        <v>0.16</v>
      </c>
      <c r="M43" s="309"/>
      <c r="N43" s="281" t="s">
        <v>296</v>
      </c>
      <c r="O43" s="281" t="s">
        <v>337</v>
      </c>
      <c r="P43" s="287">
        <f>P29*1000-P39*(E29/SUM(C29:G29))/$V$16</f>
        <v>10.697675874009311</v>
      </c>
      <c r="Q43" s="287">
        <f>2*P43/1000</f>
        <v>0.021395351748018623</v>
      </c>
      <c r="R43" s="287">
        <f>(P43/10)/Q$51</f>
        <v>0.0837238512598764</v>
      </c>
      <c r="S43" s="287">
        <f>P29*1000</f>
        <v>10.697762056376135</v>
      </c>
      <c r="T43" s="287">
        <f>S43/10/S51</f>
        <v>0.08381869050787408</v>
      </c>
      <c r="U43" s="286">
        <f>P43*100/R77</f>
        <v>11.40008708012869</v>
      </c>
      <c r="V43" s="281" t="s">
        <v>338</v>
      </c>
      <c r="W43" s="300">
        <f>U43/U48*1000</f>
        <v>704.8466489729001</v>
      </c>
      <c r="X43" s="281" t="s">
        <v>339</v>
      </c>
      <c r="Y43" s="300">
        <f>P43*V25*100/R77</f>
        <v>730.3214985968681</v>
      </c>
      <c r="Z43" s="281" t="s">
        <v>340</v>
      </c>
      <c r="AA43" s="300">
        <f>P43*V25</f>
        <v>685.3230699814836</v>
      </c>
      <c r="AB43" s="281" t="s">
        <v>341</v>
      </c>
      <c r="AC43" s="281" t="s">
        <v>296</v>
      </c>
      <c r="AD43" s="281" t="s">
        <v>354</v>
      </c>
      <c r="AH43" s="281" t="s">
        <v>358</v>
      </c>
      <c r="AI43" s="281" t="s">
        <v>359</v>
      </c>
      <c r="AJ43" s="281" t="s">
        <v>360</v>
      </c>
      <c r="AV43" s="282"/>
      <c r="AW43" s="283" t="s">
        <v>158</v>
      </c>
      <c r="AX43" s="283" t="s">
        <v>158</v>
      </c>
      <c r="AY43" s="283" t="s">
        <v>158</v>
      </c>
      <c r="AZ43" s="283" t="s">
        <v>158</v>
      </c>
      <c r="BA43" s="283" t="s">
        <v>158</v>
      </c>
      <c r="BB43" s="283" t="s">
        <v>158</v>
      </c>
      <c r="BC43" s="283" t="s">
        <v>158</v>
      </c>
      <c r="BD43" s="283" t="s">
        <v>158</v>
      </c>
      <c r="BE43" s="283" t="s">
        <v>158</v>
      </c>
      <c r="BF43" s="283" t="s">
        <v>158</v>
      </c>
      <c r="BH43" s="282"/>
    </row>
    <row r="44" spans="1:60" ht="12.75">
      <c r="A44" s="308" t="s">
        <v>361</v>
      </c>
      <c r="B44" s="313">
        <v>1.5</v>
      </c>
      <c r="C44" s="313">
        <v>1.7</v>
      </c>
      <c r="D44" s="313">
        <v>1.9</v>
      </c>
      <c r="E44" s="313">
        <v>2.1</v>
      </c>
      <c r="F44" s="313">
        <v>2.3</v>
      </c>
      <c r="G44" s="309"/>
      <c r="H44" s="313">
        <v>0.16</v>
      </c>
      <c r="I44" s="313">
        <v>0.16</v>
      </c>
      <c r="J44" s="313">
        <v>0.16</v>
      </c>
      <c r="K44" s="313">
        <v>0.16</v>
      </c>
      <c r="L44" s="313">
        <v>0.16</v>
      </c>
      <c r="M44" s="309"/>
      <c r="N44" s="281" t="s">
        <v>292</v>
      </c>
      <c r="O44" s="281" t="s">
        <v>350</v>
      </c>
      <c r="P44" s="287">
        <f>Q50/0.208-Q50+R29/2-P37/2000-P39/1000*G29/SUM(C29:G29)/$V$20</f>
        <v>9.588631824873286</v>
      </c>
      <c r="R44" s="287">
        <f>(P44*100)/Q$51</f>
        <v>75.04407444628748</v>
      </c>
      <c r="S44" s="287">
        <f>S50/0.208-S50+R29/2</f>
        <v>9.580490988685186</v>
      </c>
      <c r="T44" s="287">
        <f>S44*100/S51</f>
        <v>75.06469155531998</v>
      </c>
      <c r="U44" s="287">
        <f>100*T49/R77</f>
        <v>12.243809582218402</v>
      </c>
      <c r="V44" s="281" t="s">
        <v>351</v>
      </c>
      <c r="W44" s="300">
        <f>U44/U48*100</f>
        <v>75.70124766618453</v>
      </c>
      <c r="X44" s="281" t="s">
        <v>110</v>
      </c>
      <c r="Y44" s="300">
        <f>T49*V22*100/R77</f>
        <v>344.53345535787645</v>
      </c>
      <c r="Z44" s="281" t="s">
        <v>352</v>
      </c>
      <c r="AA44" s="300">
        <f>T49*V22</f>
        <v>323.30518243106377</v>
      </c>
      <c r="AB44" s="281" t="s">
        <v>353</v>
      </c>
      <c r="AC44" s="281" t="s">
        <v>292</v>
      </c>
      <c r="AD44" s="281" t="s">
        <v>354</v>
      </c>
      <c r="AG44" s="281" t="s">
        <v>362</v>
      </c>
      <c r="AH44" s="287">
        <f>U49*E5</f>
        <v>362.5207726905555</v>
      </c>
      <c r="AI44" s="281" t="s">
        <v>363</v>
      </c>
      <c r="AK44" s="287">
        <f>U50*E5</f>
        <v>570.1867091226991</v>
      </c>
      <c r="AL44" s="281" t="s">
        <v>364</v>
      </c>
      <c r="AP44" s="287">
        <f>I5</f>
        <v>130</v>
      </c>
      <c r="AQ44" s="281" t="s">
        <v>365</v>
      </c>
      <c r="AV44" s="282"/>
      <c r="AX44" s="287">
        <f aca="true" t="shared" si="44" ref="AX44:BF44">SUM(AX30:AX42)</f>
        <v>99.99999999999999</v>
      </c>
      <c r="AY44" s="287">
        <f t="shared" si="44"/>
        <v>99.99999999999999</v>
      </c>
      <c r="AZ44" s="287">
        <f t="shared" si="44"/>
        <v>100</v>
      </c>
      <c r="BA44" s="287">
        <f t="shared" si="44"/>
        <v>99.99999999999999</v>
      </c>
      <c r="BB44" s="287">
        <f t="shared" si="44"/>
        <v>100</v>
      </c>
      <c r="BC44" s="287">
        <f t="shared" si="44"/>
        <v>100</v>
      </c>
      <c r="BD44" s="287">
        <f t="shared" si="44"/>
        <v>100</v>
      </c>
      <c r="BE44" s="287">
        <f t="shared" si="44"/>
        <v>100</v>
      </c>
      <c r="BF44" s="287">
        <f t="shared" si="44"/>
        <v>100</v>
      </c>
      <c r="BH44" s="282"/>
    </row>
    <row r="45" spans="1:60" ht="12.75">
      <c r="A45" s="308" t="s">
        <v>366</v>
      </c>
      <c r="B45" s="313">
        <v>1.5</v>
      </c>
      <c r="C45" s="313">
        <v>1.7</v>
      </c>
      <c r="D45" s="313">
        <v>1.9</v>
      </c>
      <c r="E45" s="313">
        <v>2.1</v>
      </c>
      <c r="F45" s="313">
        <v>2.3</v>
      </c>
      <c r="G45" s="309"/>
      <c r="H45" s="313">
        <v>0.16</v>
      </c>
      <c r="I45" s="313">
        <v>0.16</v>
      </c>
      <c r="J45" s="313">
        <v>0.16</v>
      </c>
      <c r="K45" s="313">
        <v>0.16</v>
      </c>
      <c r="L45" s="313">
        <v>0.16</v>
      </c>
      <c r="M45" s="309"/>
      <c r="N45" s="281" t="s">
        <v>367</v>
      </c>
      <c r="O45" s="281" t="s">
        <v>353</v>
      </c>
      <c r="P45" s="287">
        <f>H29</f>
        <v>4.577321669066147</v>
      </c>
      <c r="W45" s="300"/>
      <c r="Y45" s="301">
        <f>P45*100/R77</f>
        <v>4.8778693835633264</v>
      </c>
      <c r="Z45" s="302" t="s">
        <v>352</v>
      </c>
      <c r="AA45" s="301">
        <f>P45</f>
        <v>4.577321669066147</v>
      </c>
      <c r="AB45" s="281" t="s">
        <v>353</v>
      </c>
      <c r="AC45" s="281" t="s">
        <v>367</v>
      </c>
      <c r="AD45" s="281" t="s">
        <v>354</v>
      </c>
      <c r="AF45" s="283" t="s">
        <v>158</v>
      </c>
      <c r="AG45" s="283" t="s">
        <v>158</v>
      </c>
      <c r="AH45" s="283" t="s">
        <v>158</v>
      </c>
      <c r="AI45" s="283" t="s">
        <v>158</v>
      </c>
      <c r="AJ45" s="283" t="s">
        <v>158</v>
      </c>
      <c r="AK45" s="283" t="s">
        <v>158</v>
      </c>
      <c r="AL45" s="283" t="s">
        <v>158</v>
      </c>
      <c r="AV45" s="282"/>
      <c r="AW45" s="283" t="s">
        <v>158</v>
      </c>
      <c r="AX45" s="283" t="s">
        <v>158</v>
      </c>
      <c r="AY45" s="283" t="s">
        <v>158</v>
      </c>
      <c r="AZ45" s="283" t="s">
        <v>158</v>
      </c>
      <c r="BA45" s="283" t="s">
        <v>158</v>
      </c>
      <c r="BB45" s="283" t="s">
        <v>158</v>
      </c>
      <c r="BC45" s="283" t="s">
        <v>158</v>
      </c>
      <c r="BD45" s="283" t="s">
        <v>158</v>
      </c>
      <c r="BE45" s="283" t="s">
        <v>158</v>
      </c>
      <c r="BF45" s="283" t="s">
        <v>158</v>
      </c>
      <c r="BH45" s="282"/>
    </row>
    <row r="46" spans="1:48" ht="12.75">
      <c r="A46" s="308" t="s">
        <v>368</v>
      </c>
      <c r="B46" s="313">
        <v>1.3</v>
      </c>
      <c r="C46" s="313">
        <v>1.5</v>
      </c>
      <c r="D46" s="313">
        <v>1.7</v>
      </c>
      <c r="E46" s="313">
        <v>1.9</v>
      </c>
      <c r="F46" s="313">
        <v>2.2</v>
      </c>
      <c r="G46" s="309"/>
      <c r="H46" s="313">
        <v>0.24</v>
      </c>
      <c r="I46" s="313">
        <v>0.16</v>
      </c>
      <c r="J46" s="313">
        <v>0.1</v>
      </c>
      <c r="K46" s="313">
        <v>0.05</v>
      </c>
      <c r="L46" s="313">
        <v>0</v>
      </c>
      <c r="M46" s="309"/>
      <c r="N46" s="281" t="s">
        <v>273</v>
      </c>
      <c r="O46" s="281" t="s">
        <v>350</v>
      </c>
      <c r="P46" s="287">
        <v>0</v>
      </c>
      <c r="R46" s="287">
        <v>0</v>
      </c>
      <c r="S46" s="287">
        <v>0</v>
      </c>
      <c r="T46" s="287">
        <v>0</v>
      </c>
      <c r="U46" s="287">
        <f>100*T51/R77</f>
        <v>0.5319722307556264</v>
      </c>
      <c r="V46" s="281" t="s">
        <v>351</v>
      </c>
      <c r="W46" s="300">
        <f>U46/U48*100</f>
        <v>3.289087544325221</v>
      </c>
      <c r="X46" s="281" t="s">
        <v>110</v>
      </c>
      <c r="Y46" s="300">
        <f>T51*V17*100/R77</f>
        <v>17.022473017503135</v>
      </c>
      <c r="Z46" s="281" t="s">
        <v>352</v>
      </c>
      <c r="AA46" s="300">
        <f>T51*V17</f>
        <v>15.973641046368403</v>
      </c>
      <c r="AB46" s="281" t="s">
        <v>353</v>
      </c>
      <c r="AC46" s="281" t="s">
        <v>273</v>
      </c>
      <c r="AD46" s="281" t="s">
        <v>354</v>
      </c>
      <c r="AH46" s="281" t="s">
        <v>369</v>
      </c>
      <c r="AV46" s="282"/>
    </row>
    <row r="47" spans="1:60" ht="12.75">
      <c r="A47" s="308" t="s">
        <v>370</v>
      </c>
      <c r="B47" s="313">
        <v>1.3</v>
      </c>
      <c r="C47" s="313">
        <v>1.5</v>
      </c>
      <c r="D47" s="313">
        <v>1.7</v>
      </c>
      <c r="E47" s="313">
        <v>1.9</v>
      </c>
      <c r="F47" s="313">
        <v>2.2</v>
      </c>
      <c r="G47" s="309"/>
      <c r="H47" s="313">
        <v>0.24</v>
      </c>
      <c r="I47" s="313">
        <v>0.16</v>
      </c>
      <c r="J47" s="313">
        <v>0.1</v>
      </c>
      <c r="K47" s="313">
        <v>0.05</v>
      </c>
      <c r="L47" s="313">
        <v>0</v>
      </c>
      <c r="M47" s="309"/>
      <c r="N47" s="283" t="s">
        <v>158</v>
      </c>
      <c r="O47" s="283" t="s">
        <v>158</v>
      </c>
      <c r="P47" s="283" t="s">
        <v>158</v>
      </c>
      <c r="Q47" s="283" t="s">
        <v>158</v>
      </c>
      <c r="R47" s="283" t="s">
        <v>158</v>
      </c>
      <c r="S47" s="283" t="s">
        <v>158</v>
      </c>
      <c r="T47" s="283" t="s">
        <v>158</v>
      </c>
      <c r="U47" s="283" t="s">
        <v>158</v>
      </c>
      <c r="V47" s="283" t="s">
        <v>158</v>
      </c>
      <c r="W47" s="283" t="s">
        <v>158</v>
      </c>
      <c r="X47" s="283" t="s">
        <v>158</v>
      </c>
      <c r="Y47" s="283" t="s">
        <v>158</v>
      </c>
      <c r="Z47" s="283" t="s">
        <v>158</v>
      </c>
      <c r="AA47" s="283" t="s">
        <v>158</v>
      </c>
      <c r="AB47" s="283" t="s">
        <v>158</v>
      </c>
      <c r="AC47" s="283" t="s">
        <v>158</v>
      </c>
      <c r="AD47" s="283" t="s">
        <v>158</v>
      </c>
      <c r="AF47" s="283" t="s">
        <v>158</v>
      </c>
      <c r="AG47" s="283" t="s">
        <v>158</v>
      </c>
      <c r="AH47" s="283" t="s">
        <v>158</v>
      </c>
      <c r="AI47" s="283" t="s">
        <v>158</v>
      </c>
      <c r="AJ47" s="283" t="s">
        <v>158</v>
      </c>
      <c r="AK47" s="283" t="s">
        <v>158</v>
      </c>
      <c r="AL47" s="283" t="s">
        <v>158</v>
      </c>
      <c r="AV47" s="282"/>
      <c r="AW47" s="282"/>
      <c r="AX47" s="282"/>
      <c r="AY47" s="282"/>
      <c r="AZ47" s="282"/>
      <c r="BA47" s="282"/>
      <c r="BB47" s="282"/>
      <c r="BC47" s="282"/>
      <c r="BD47" s="282"/>
      <c r="BE47" s="282"/>
      <c r="BF47" s="282"/>
      <c r="BG47" s="282"/>
      <c r="BH47" s="282"/>
    </row>
    <row r="48" spans="1:52" ht="12.75">
      <c r="A48" s="308" t="s">
        <v>371</v>
      </c>
      <c r="B48" s="313">
        <v>1.1</v>
      </c>
      <c r="C48" s="313">
        <v>1.3</v>
      </c>
      <c r="D48" s="313">
        <v>1.5</v>
      </c>
      <c r="E48" s="313">
        <v>1.8</v>
      </c>
      <c r="F48" s="313">
        <v>2.2</v>
      </c>
      <c r="G48" s="309"/>
      <c r="H48" s="313">
        <v>0.24</v>
      </c>
      <c r="I48" s="313">
        <v>0.16</v>
      </c>
      <c r="J48" s="313">
        <v>0.1</v>
      </c>
      <c r="K48" s="313">
        <v>0.15</v>
      </c>
      <c r="L48" s="313">
        <v>0</v>
      </c>
      <c r="M48" s="309"/>
      <c r="N48" s="281" t="s">
        <v>372</v>
      </c>
      <c r="Q48" s="287">
        <f>(+Q43+Q42+Q41+Q38+Q37)/2</f>
        <v>2.593473226867199</v>
      </c>
      <c r="R48" s="287">
        <f>SUM(R37:R44)</f>
        <v>100</v>
      </c>
      <c r="S48" s="287">
        <f>S41+(S42-S29)/2+S43/1000</f>
        <v>2.590501958476029</v>
      </c>
      <c r="T48" s="287">
        <f>SUM(T41:T44)</f>
        <v>100</v>
      </c>
      <c r="U48" s="287">
        <f>(U37/1000+U38/1000+U41+U42+U43/1000+U44+U46)</f>
        <v>16.173854407537945</v>
      </c>
      <c r="V48" s="281" t="s">
        <v>351</v>
      </c>
      <c r="W48" s="287">
        <f>(+W37+W38+W43)/10^4+(W41+W42+W44+W46)</f>
        <v>99.99999999999999</v>
      </c>
      <c r="X48" s="281" t="s">
        <v>110</v>
      </c>
      <c r="Y48" s="287">
        <f>((+Y37+Y38+Y39+Y40+Y43)/1000+Y41+Y42+Y44+Y45+Y46)</f>
        <v>488.4269230979605</v>
      </c>
      <c r="Z48" s="281" t="s">
        <v>352</v>
      </c>
      <c r="AB48" s="287">
        <f>((+AA37+AA38+AA39+AA40+AA43)/1000+AA41+AA42+AA44+AA45+AA46)</f>
        <v>458.3327192780242</v>
      </c>
      <c r="AC48" s="281" t="s">
        <v>353</v>
      </c>
      <c r="AF48" s="284" t="s">
        <v>373</v>
      </c>
      <c r="AG48" s="284" t="s">
        <v>374</v>
      </c>
      <c r="AH48" s="284" t="s">
        <v>374</v>
      </c>
      <c r="AI48" s="284" t="s">
        <v>375</v>
      </c>
      <c r="AJ48" s="284" t="s">
        <v>375</v>
      </c>
      <c r="AK48" s="284" t="s">
        <v>376</v>
      </c>
      <c r="AL48" s="284" t="s">
        <v>376</v>
      </c>
      <c r="AV48" s="282"/>
      <c r="AW48" s="282"/>
      <c r="AX48" s="282"/>
      <c r="AY48" s="282"/>
      <c r="AZ48" s="282"/>
    </row>
    <row r="49" spans="1:52" ht="12.75">
      <c r="A49" s="308" t="s">
        <v>377</v>
      </c>
      <c r="B49" s="313">
        <v>1.5</v>
      </c>
      <c r="C49" s="313">
        <v>1.7</v>
      </c>
      <c r="D49" s="313">
        <v>1.9</v>
      </c>
      <c r="E49" s="313">
        <v>2.1</v>
      </c>
      <c r="F49" s="313">
        <v>2.3</v>
      </c>
      <c r="G49" s="309"/>
      <c r="H49" s="313">
        <v>0.16</v>
      </c>
      <c r="I49" s="313">
        <v>0.16</v>
      </c>
      <c r="J49" s="313">
        <v>0.16</v>
      </c>
      <c r="K49" s="313">
        <v>0.16</v>
      </c>
      <c r="L49" s="313">
        <v>0.16</v>
      </c>
      <c r="M49" s="309"/>
      <c r="N49" s="281" t="s">
        <v>378</v>
      </c>
      <c r="Q49" s="287">
        <f>Q29/2-P39/1000*(F29/SUM(C29:G29))/$V$17</f>
        <v>0.07961645099367354</v>
      </c>
      <c r="S49" s="287">
        <f>Q29/2</f>
        <v>0.07961709239786875</v>
      </c>
      <c r="T49" s="286">
        <f>P44+(T51/0.208-T51)</f>
        <v>11.489412795975174</v>
      </c>
      <c r="U49" s="287">
        <f>((+U37+U38+U43)/1000+U41+U42+U44+U46)*0.022414</f>
        <v>0.3625207726905555</v>
      </c>
      <c r="V49" s="281" t="s">
        <v>379</v>
      </c>
      <c r="Y49" s="287">
        <f>Y48/(1000*U49)</f>
        <v>1.3473074093739654</v>
      </c>
      <c r="Z49" s="281" t="s">
        <v>380</v>
      </c>
      <c r="AB49" s="287">
        <f>((+U37+U38+U43)/1000+U41+U42+U44+U46)*0.022414*R77/100</f>
        <v>0.34018421934678683</v>
      </c>
      <c r="AC49" s="281" t="s">
        <v>381</v>
      </c>
      <c r="AF49" s="284" t="s">
        <v>241</v>
      </c>
      <c r="AG49" s="284" t="s">
        <v>382</v>
      </c>
      <c r="AH49" s="284" t="s">
        <v>383</v>
      </c>
      <c r="AI49" s="284" t="s">
        <v>382</v>
      </c>
      <c r="AJ49" s="284" t="s">
        <v>383</v>
      </c>
      <c r="AK49" s="284" t="s">
        <v>382</v>
      </c>
      <c r="AL49" s="284" t="s">
        <v>383</v>
      </c>
      <c r="AV49" s="282"/>
      <c r="AW49" s="282"/>
      <c r="AX49" s="282"/>
      <c r="AY49" s="282"/>
      <c r="AZ49" s="282"/>
    </row>
    <row r="50" spans="1:52" ht="12.75">
      <c r="A50" s="310" t="s">
        <v>158</v>
      </c>
      <c r="B50" s="310" t="s">
        <v>158</v>
      </c>
      <c r="C50" s="310" t="s">
        <v>158</v>
      </c>
      <c r="D50" s="310" t="s">
        <v>158</v>
      </c>
      <c r="E50" s="310" t="s">
        <v>158</v>
      </c>
      <c r="F50" s="310" t="s">
        <v>158</v>
      </c>
      <c r="G50" s="309"/>
      <c r="H50" s="310" t="s">
        <v>158</v>
      </c>
      <c r="I50" s="310" t="s">
        <v>158</v>
      </c>
      <c r="J50" s="310" t="s">
        <v>158</v>
      </c>
      <c r="K50" s="310" t="s">
        <v>158</v>
      </c>
      <c r="L50" s="310" t="s">
        <v>158</v>
      </c>
      <c r="M50" s="309"/>
      <c r="N50" s="281" t="s">
        <v>384</v>
      </c>
      <c r="Q50" s="287">
        <f>Q48-Q49</f>
        <v>2.5138567758735255</v>
      </c>
      <c r="S50" s="287">
        <f>N29+O29/4+P29-Q29/2</f>
        <v>2.51088486607816</v>
      </c>
      <c r="T50" s="303" t="s">
        <v>292</v>
      </c>
      <c r="U50" s="287">
        <f>(I5+273.15)/273.15*U49*100/R77</f>
        <v>0.5701867091226991</v>
      </c>
      <c r="V50" s="281" t="s">
        <v>385</v>
      </c>
      <c r="Y50" s="287">
        <f>Y49/((I5+273.15)/273.15)</f>
        <v>0.9128538233176204</v>
      </c>
      <c r="Z50" s="281" t="s">
        <v>386</v>
      </c>
      <c r="AF50" s="284" t="s">
        <v>191</v>
      </c>
      <c r="AG50" s="282">
        <v>694</v>
      </c>
      <c r="AH50" s="282">
        <v>774</v>
      </c>
      <c r="AI50" s="282">
        <v>831</v>
      </c>
      <c r="AJ50" s="282">
        <v>911</v>
      </c>
      <c r="AK50" s="282">
        <v>821</v>
      </c>
      <c r="AL50" s="282">
        <v>901</v>
      </c>
      <c r="AV50" s="282"/>
      <c r="AW50" s="282"/>
      <c r="AX50" s="282"/>
      <c r="AY50" s="282"/>
      <c r="AZ50" s="282"/>
    </row>
    <row r="51" spans="1:52" ht="12.75">
      <c r="A51" s="312" t="s">
        <v>387</v>
      </c>
      <c r="B51" s="312" t="s">
        <v>159</v>
      </c>
      <c r="C51" s="312" t="s">
        <v>160</v>
      </c>
      <c r="D51" s="312" t="s">
        <v>161</v>
      </c>
      <c r="E51" s="312" t="s">
        <v>162</v>
      </c>
      <c r="F51" s="312" t="s">
        <v>163</v>
      </c>
      <c r="G51" s="309"/>
      <c r="H51" s="311" t="s">
        <v>159</v>
      </c>
      <c r="I51" s="311" t="s">
        <v>160</v>
      </c>
      <c r="J51" s="311" t="s">
        <v>161</v>
      </c>
      <c r="K51" s="311" t="s">
        <v>162</v>
      </c>
      <c r="L51" s="311" t="s">
        <v>163</v>
      </c>
      <c r="M51" s="309"/>
      <c r="N51" s="281" t="s">
        <v>388</v>
      </c>
      <c r="Q51" s="287">
        <f>P37/1000+P38/1000+P41+P42+P43/1000+P44</f>
        <v>12.77733371438449</v>
      </c>
      <c r="S51" s="287">
        <f>S41+S42+S43/1000+S44</f>
        <v>12.762979225225628</v>
      </c>
      <c r="T51" s="286">
        <f>(Q59*S50-S50)-P37/2000+P38/2000+P39/1000/SUM(C29:G29)*S50+P40/1000</f>
        <v>0.4991950025116068</v>
      </c>
      <c r="U51" s="287">
        <f>(U67+273.15)/273.15*U49*100/R77</f>
        <v>2.7976560596512976</v>
      </c>
      <c r="V51" s="281" t="s">
        <v>389</v>
      </c>
      <c r="Y51" s="287">
        <f>Y49/((U67+273.15)/273.15)</f>
        <v>0.18604757208519154</v>
      </c>
      <c r="Z51" s="281" t="s">
        <v>390</v>
      </c>
      <c r="AF51" s="284" t="s">
        <v>202</v>
      </c>
      <c r="AG51" s="282">
        <v>650</v>
      </c>
      <c r="AH51" s="282">
        <v>730</v>
      </c>
      <c r="AI51" s="282">
        <v>763</v>
      </c>
      <c r="AJ51" s="282">
        <v>843</v>
      </c>
      <c r="AK51" s="282">
        <v>760</v>
      </c>
      <c r="AL51" s="282">
        <v>840</v>
      </c>
      <c r="AV51" s="282"/>
      <c r="AW51" s="282"/>
      <c r="AX51" s="282"/>
      <c r="AY51" s="282"/>
      <c r="AZ51" s="282"/>
    </row>
    <row r="52" spans="1:52" ht="12.75">
      <c r="A52" s="310" t="s">
        <v>158</v>
      </c>
      <c r="B52" s="310" t="s">
        <v>158</v>
      </c>
      <c r="C52" s="310" t="s">
        <v>158</v>
      </c>
      <c r="D52" s="310" t="s">
        <v>158</v>
      </c>
      <c r="E52" s="310" t="s">
        <v>158</v>
      </c>
      <c r="F52" s="310" t="s">
        <v>158</v>
      </c>
      <c r="G52" s="309"/>
      <c r="H52" s="310" t="s">
        <v>158</v>
      </c>
      <c r="I52" s="310" t="s">
        <v>158</v>
      </c>
      <c r="J52" s="310" t="s">
        <v>158</v>
      </c>
      <c r="K52" s="310" t="s">
        <v>158</v>
      </c>
      <c r="L52" s="310" t="s">
        <v>158</v>
      </c>
      <c r="M52" s="309"/>
      <c r="T52" s="281" t="s">
        <v>273</v>
      </c>
      <c r="AF52" s="284" t="s">
        <v>206</v>
      </c>
      <c r="AG52" s="282">
        <v>623</v>
      </c>
      <c r="AH52" s="282">
        <v>703</v>
      </c>
      <c r="AI52" s="282">
        <v>716</v>
      </c>
      <c r="AJ52" s="282">
        <v>796</v>
      </c>
      <c r="AK52" s="282">
        <v>744</v>
      </c>
      <c r="AL52" s="282">
        <v>824</v>
      </c>
      <c r="AV52" s="282"/>
      <c r="AW52" s="282"/>
      <c r="AX52" s="282"/>
      <c r="AY52" s="282"/>
      <c r="AZ52" s="282"/>
    </row>
    <row r="53" spans="1:52" ht="13.5" thickBot="1">
      <c r="A53" s="308" t="s">
        <v>345</v>
      </c>
      <c r="B53" s="313">
        <v>1.8</v>
      </c>
      <c r="C53" s="313">
        <v>2.15</v>
      </c>
      <c r="D53" s="313">
        <v>2.5</v>
      </c>
      <c r="E53" s="313">
        <f aca="true" t="shared" si="45" ref="E53:E63">1.1*D53</f>
        <v>2.75</v>
      </c>
      <c r="F53" s="313">
        <f aca="true" t="shared" si="46" ref="F53:F63">1.2*D53</f>
        <v>3</v>
      </c>
      <c r="G53" s="309"/>
      <c r="H53" s="313">
        <v>-0.54</v>
      </c>
      <c r="I53" s="313">
        <v>-0.54</v>
      </c>
      <c r="J53" s="313">
        <v>-0.54</v>
      </c>
      <c r="K53" s="313">
        <v>-0.54</v>
      </c>
      <c r="L53" s="313">
        <v>-0.54</v>
      </c>
      <c r="M53" s="309"/>
      <c r="N53" s="281" t="s">
        <v>391</v>
      </c>
      <c r="AF53" s="284" t="s">
        <v>213</v>
      </c>
      <c r="AG53" s="282">
        <v>423</v>
      </c>
      <c r="AH53" s="282">
        <v>503</v>
      </c>
      <c r="AI53" s="282">
        <v>477</v>
      </c>
      <c r="AJ53" s="282">
        <v>557</v>
      </c>
      <c r="AK53" s="282">
        <v>513</v>
      </c>
      <c r="AL53" s="282">
        <v>593</v>
      </c>
      <c r="AV53" s="282"/>
      <c r="AW53" s="282"/>
      <c r="AX53" s="282"/>
      <c r="AY53" s="282"/>
      <c r="AZ53" s="282"/>
    </row>
    <row r="54" spans="1:52" ht="13.5" thickBot="1">
      <c r="A54" s="308" t="s">
        <v>347</v>
      </c>
      <c r="B54" s="313">
        <v>1.8</v>
      </c>
      <c r="C54" s="313">
        <v>2.15</v>
      </c>
      <c r="D54" s="313">
        <v>2.5</v>
      </c>
      <c r="E54" s="313">
        <f t="shared" si="45"/>
        <v>2.75</v>
      </c>
      <c r="F54" s="313">
        <f t="shared" si="46"/>
        <v>3</v>
      </c>
      <c r="G54" s="309"/>
      <c r="H54" s="313">
        <v>-0.54</v>
      </c>
      <c r="I54" s="313">
        <v>-0.54</v>
      </c>
      <c r="J54" s="313">
        <v>-0.54</v>
      </c>
      <c r="K54" s="313">
        <v>-0.54</v>
      </c>
      <c r="L54" s="313">
        <v>-0.54</v>
      </c>
      <c r="M54" s="309"/>
      <c r="N54" s="283" t="s">
        <v>158</v>
      </c>
      <c r="O54" s="283" t="s">
        <v>158</v>
      </c>
      <c r="P54" s="283" t="s">
        <v>158</v>
      </c>
      <c r="Q54" s="283" t="s">
        <v>158</v>
      </c>
      <c r="S54" s="324" t="s">
        <v>450</v>
      </c>
      <c r="T54" s="325" t="s">
        <v>451</v>
      </c>
      <c r="U54" s="326" t="s">
        <v>452</v>
      </c>
      <c r="AF54" s="284" t="s">
        <v>220</v>
      </c>
      <c r="AG54" s="282">
        <v>174</v>
      </c>
      <c r="AH54" s="282">
        <v>254</v>
      </c>
      <c r="AI54" s="282">
        <v>255</v>
      </c>
      <c r="AJ54" s="282">
        <v>335</v>
      </c>
      <c r="AK54" s="282">
        <v>310</v>
      </c>
      <c r="AL54" s="282">
        <v>390</v>
      </c>
      <c r="AV54" s="282"/>
      <c r="AW54" s="282"/>
      <c r="AX54" s="282"/>
      <c r="AY54" s="282"/>
      <c r="AZ54" s="282"/>
    </row>
    <row r="55" spans="1:52" ht="12.75">
      <c r="A55" s="308" t="s">
        <v>349</v>
      </c>
      <c r="B55" s="313">
        <v>1.8</v>
      </c>
      <c r="C55" s="313">
        <v>2.15</v>
      </c>
      <c r="D55" s="313">
        <v>2.5</v>
      </c>
      <c r="E55" s="313">
        <f t="shared" si="45"/>
        <v>2.75</v>
      </c>
      <c r="F55" s="313">
        <f t="shared" si="46"/>
        <v>3</v>
      </c>
      <c r="G55" s="309"/>
      <c r="H55" s="313">
        <v>-0.54</v>
      </c>
      <c r="I55" s="313">
        <v>-0.54</v>
      </c>
      <c r="J55" s="313">
        <v>-0.54</v>
      </c>
      <c r="K55" s="313">
        <v>-0.54</v>
      </c>
      <c r="L55" s="313">
        <v>-0.54</v>
      </c>
      <c r="M55" s="309"/>
      <c r="N55" s="281" t="s">
        <v>392</v>
      </c>
      <c r="Q55" s="287">
        <f>IF(C9&gt;0,1/(1-C9/20.8),0)</f>
        <v>0</v>
      </c>
      <c r="S55" s="315" t="s">
        <v>346</v>
      </c>
      <c r="T55" s="316" t="s">
        <v>449</v>
      </c>
      <c r="U55" s="321">
        <f>P39*L28*2*((L$23+L$24)/L28)</f>
        <v>41.54477441706232</v>
      </c>
      <c r="AF55" s="284" t="s">
        <v>224</v>
      </c>
      <c r="AG55" s="282">
        <v>0</v>
      </c>
      <c r="AH55" s="282">
        <v>80</v>
      </c>
      <c r="AI55" s="282">
        <v>0</v>
      </c>
      <c r="AJ55" s="282">
        <v>80</v>
      </c>
      <c r="AK55" s="282">
        <v>7</v>
      </c>
      <c r="AL55" s="282">
        <v>87</v>
      </c>
      <c r="AV55" s="282"/>
      <c r="AW55" s="282"/>
      <c r="AX55" s="282"/>
      <c r="AY55" s="282"/>
      <c r="AZ55" s="282"/>
    </row>
    <row r="56" spans="1:52" ht="12.75">
      <c r="A56" s="308" t="s">
        <v>355</v>
      </c>
      <c r="B56" s="313">
        <v>2.3</v>
      </c>
      <c r="C56" s="313">
        <v>2.6</v>
      </c>
      <c r="D56" s="313">
        <v>2.9</v>
      </c>
      <c r="E56" s="313">
        <f t="shared" si="45"/>
        <v>3.19</v>
      </c>
      <c r="F56" s="313">
        <f t="shared" si="46"/>
        <v>3.48</v>
      </c>
      <c r="G56" s="309"/>
      <c r="H56" s="313">
        <v>-0.54</v>
      </c>
      <c r="I56" s="313">
        <v>-0.54</v>
      </c>
      <c r="J56" s="313">
        <v>-0.54</v>
      </c>
      <c r="K56" s="313">
        <v>-0.54</v>
      </c>
      <c r="L56" s="313">
        <v>-0.54</v>
      </c>
      <c r="M56" s="309"/>
      <c r="N56" s="281" t="s">
        <v>393</v>
      </c>
      <c r="Q56" s="287">
        <f>IF(F9&gt;0,(0.208*(S51*T41/F9-S51)+S50)/S50,0)</f>
        <v>0</v>
      </c>
      <c r="S56" s="317" t="s">
        <v>282</v>
      </c>
      <c r="T56" s="318" t="s">
        <v>449</v>
      </c>
      <c r="U56" s="322">
        <f>P40*L28*2*12*((L$23+L$24)/L28)</f>
        <v>223.1583083315076</v>
      </c>
      <c r="AF56" s="284" t="s">
        <v>227</v>
      </c>
      <c r="AG56" s="282">
        <v>0</v>
      </c>
      <c r="AH56" s="282">
        <v>80</v>
      </c>
      <c r="AI56" s="282">
        <v>0</v>
      </c>
      <c r="AJ56" s="282">
        <v>80</v>
      </c>
      <c r="AK56" s="282">
        <v>0</v>
      </c>
      <c r="AL56" s="282">
        <v>80</v>
      </c>
      <c r="AV56" s="282"/>
      <c r="AW56" s="282"/>
      <c r="AX56" s="282"/>
      <c r="AY56" s="282"/>
      <c r="AZ56" s="282"/>
    </row>
    <row r="57" spans="1:52" ht="13.5" thickBot="1">
      <c r="A57" s="308" t="s">
        <v>357</v>
      </c>
      <c r="B57" s="313">
        <v>2.3</v>
      </c>
      <c r="C57" s="313">
        <v>2.6</v>
      </c>
      <c r="D57" s="313">
        <v>2.9</v>
      </c>
      <c r="E57" s="313">
        <f t="shared" si="45"/>
        <v>3.19</v>
      </c>
      <c r="F57" s="313">
        <f t="shared" si="46"/>
        <v>3.48</v>
      </c>
      <c r="G57" s="309"/>
      <c r="H57" s="313">
        <v>-0.54</v>
      </c>
      <c r="I57" s="313">
        <v>-0.54</v>
      </c>
      <c r="J57" s="313">
        <v>-0.54</v>
      </c>
      <c r="K57" s="313">
        <v>-0.54</v>
      </c>
      <c r="L57" s="313">
        <v>-0.54</v>
      </c>
      <c r="M57" s="309"/>
      <c r="N57" s="281" t="s">
        <v>394</v>
      </c>
      <c r="Q57" s="287">
        <f>I9</f>
        <v>1.2</v>
      </c>
      <c r="S57" s="319" t="s">
        <v>453</v>
      </c>
      <c r="T57" s="320" t="s">
        <v>449</v>
      </c>
      <c r="U57" s="323">
        <f>U55+U56</f>
        <v>264.70308274856995</v>
      </c>
      <c r="AF57" s="284" t="s">
        <v>238</v>
      </c>
      <c r="AG57" s="282">
        <v>0</v>
      </c>
      <c r="AH57" s="282">
        <v>80</v>
      </c>
      <c r="AI57" s="282">
        <v>0</v>
      </c>
      <c r="AJ57" s="282">
        <v>80</v>
      </c>
      <c r="AK57" s="282">
        <v>16</v>
      </c>
      <c r="AL57" s="282">
        <v>96</v>
      </c>
      <c r="AV57" s="282"/>
      <c r="AW57" s="282"/>
      <c r="AX57" s="282"/>
      <c r="AY57" s="282"/>
      <c r="AZ57" s="282"/>
    </row>
    <row r="58" spans="1:52" ht="12.75">
      <c r="A58" s="308" t="s">
        <v>361</v>
      </c>
      <c r="B58" s="313">
        <v>2.3</v>
      </c>
      <c r="C58" s="313">
        <v>2.6</v>
      </c>
      <c r="D58" s="313">
        <v>2.9</v>
      </c>
      <c r="E58" s="313">
        <f t="shared" si="45"/>
        <v>3.19</v>
      </c>
      <c r="F58" s="313">
        <f t="shared" si="46"/>
        <v>3.48</v>
      </c>
      <c r="G58" s="309"/>
      <c r="H58" s="313">
        <v>-0.54</v>
      </c>
      <c r="I58" s="313">
        <v>-0.54</v>
      </c>
      <c r="J58" s="313">
        <v>-0.54</v>
      </c>
      <c r="K58" s="313">
        <v>-0.54</v>
      </c>
      <c r="L58" s="313">
        <v>-0.54</v>
      </c>
      <c r="M58" s="309"/>
      <c r="N58" s="283" t="s">
        <v>158</v>
      </c>
      <c r="O58" s="283" t="s">
        <v>158</v>
      </c>
      <c r="P58" s="283" t="s">
        <v>158</v>
      </c>
      <c r="Q58" s="283" t="s">
        <v>158</v>
      </c>
      <c r="AF58" s="284" t="s">
        <v>395</v>
      </c>
      <c r="AG58" s="282">
        <v>114</v>
      </c>
      <c r="AH58" s="282">
        <v>194</v>
      </c>
      <c r="AI58" s="282">
        <v>208</v>
      </c>
      <c r="AJ58" s="282">
        <v>288</v>
      </c>
      <c r="AK58" s="282">
        <v>243</v>
      </c>
      <c r="AL58" s="282">
        <v>323</v>
      </c>
      <c r="AV58" s="282"/>
      <c r="AW58" s="282"/>
      <c r="AX58" s="282"/>
      <c r="AY58" s="282"/>
      <c r="AZ58" s="282"/>
    </row>
    <row r="59" spans="1:52" ht="12.75">
      <c r="A59" s="308" t="s">
        <v>366</v>
      </c>
      <c r="B59" s="313">
        <v>2.3</v>
      </c>
      <c r="C59" s="313">
        <v>2.6</v>
      </c>
      <c r="D59" s="313">
        <v>2.9</v>
      </c>
      <c r="E59" s="313">
        <f t="shared" si="45"/>
        <v>3.19</v>
      </c>
      <c r="F59" s="313">
        <f t="shared" si="46"/>
        <v>3.48</v>
      </c>
      <c r="G59" s="309"/>
      <c r="H59" s="313">
        <v>-0.54</v>
      </c>
      <c r="I59" s="313">
        <v>-0.54</v>
      </c>
      <c r="J59" s="313">
        <v>-0.54</v>
      </c>
      <c r="K59" s="313">
        <v>-0.54</v>
      </c>
      <c r="L59" s="313">
        <v>-0.54</v>
      </c>
      <c r="M59" s="309"/>
      <c r="N59" s="281" t="s">
        <v>396</v>
      </c>
      <c r="Q59" s="287">
        <f>IF(SUM(Q55:Q57)&gt;0,SUM(Q55:Q57),1)</f>
        <v>1.2</v>
      </c>
      <c r="AF59" s="284" t="s">
        <v>264</v>
      </c>
      <c r="AG59" s="282">
        <v>338</v>
      </c>
      <c r="AH59" s="282">
        <v>418</v>
      </c>
      <c r="AI59" s="282">
        <v>415</v>
      </c>
      <c r="AJ59" s="282">
        <v>495</v>
      </c>
      <c r="AK59" s="282">
        <v>446</v>
      </c>
      <c r="AL59" s="282">
        <v>526</v>
      </c>
      <c r="AV59" s="282"/>
      <c r="AW59" s="282"/>
      <c r="AX59" s="282"/>
      <c r="AY59" s="282"/>
      <c r="AZ59" s="282"/>
    </row>
    <row r="60" spans="1:52" ht="12.75">
      <c r="A60" s="308" t="s">
        <v>368</v>
      </c>
      <c r="B60" s="313">
        <v>1</v>
      </c>
      <c r="C60" s="313">
        <v>1.1</v>
      </c>
      <c r="D60" s="313">
        <v>1.2</v>
      </c>
      <c r="E60" s="313">
        <f t="shared" si="45"/>
        <v>1.32</v>
      </c>
      <c r="F60" s="313">
        <f t="shared" si="46"/>
        <v>1.44</v>
      </c>
      <c r="G60" s="309"/>
      <c r="H60" s="313">
        <v>-0.25</v>
      </c>
      <c r="I60" s="313">
        <v>-0.25</v>
      </c>
      <c r="J60" s="313">
        <v>-0.25</v>
      </c>
      <c r="K60" s="313">
        <v>-0.25</v>
      </c>
      <c r="L60" s="313">
        <v>-0.25</v>
      </c>
      <c r="M60" s="309"/>
      <c r="S60" s="296"/>
      <c r="T60" s="296"/>
      <c r="U60" s="296"/>
      <c r="V60" s="296"/>
      <c r="W60" s="296"/>
      <c r="AF60" s="284" t="s">
        <v>267</v>
      </c>
      <c r="AG60" s="282">
        <v>456</v>
      </c>
      <c r="AH60" s="282">
        <v>536</v>
      </c>
      <c r="AI60" s="282">
        <v>552</v>
      </c>
      <c r="AJ60" s="282">
        <v>632</v>
      </c>
      <c r="AK60" s="282">
        <v>573</v>
      </c>
      <c r="AL60" s="282">
        <v>653</v>
      </c>
      <c r="AV60" s="282"/>
      <c r="AW60" s="282"/>
      <c r="AX60" s="282"/>
      <c r="AY60" s="282"/>
      <c r="AZ60" s="282"/>
    </row>
    <row r="61" spans="1:52" ht="12.75">
      <c r="A61" s="308" t="s">
        <v>370</v>
      </c>
      <c r="B61" s="313">
        <v>1</v>
      </c>
      <c r="C61" s="313">
        <v>1.1</v>
      </c>
      <c r="D61" s="313">
        <v>1.2</v>
      </c>
      <c r="E61" s="313">
        <f t="shared" si="45"/>
        <v>1.32</v>
      </c>
      <c r="F61" s="313">
        <f t="shared" si="46"/>
        <v>1.44</v>
      </c>
      <c r="G61" s="309"/>
      <c r="H61" s="313">
        <v>-0.25</v>
      </c>
      <c r="I61" s="313">
        <v>-0.25</v>
      </c>
      <c r="J61" s="313">
        <v>-0.25</v>
      </c>
      <c r="K61" s="313">
        <v>-0.25</v>
      </c>
      <c r="L61" s="313">
        <v>-0.25</v>
      </c>
      <c r="M61" s="309"/>
      <c r="S61" s="304" t="s">
        <v>397</v>
      </c>
      <c r="T61" s="304" t="s">
        <v>398</v>
      </c>
      <c r="U61" s="296"/>
      <c r="V61" s="296"/>
      <c r="W61" s="296"/>
      <c r="AF61" s="284" t="s">
        <v>270</v>
      </c>
      <c r="AG61" s="282">
        <v>586</v>
      </c>
      <c r="AH61" s="282">
        <v>666</v>
      </c>
      <c r="AI61" s="282">
        <v>716</v>
      </c>
      <c r="AJ61" s="282">
        <v>796</v>
      </c>
      <c r="AK61" s="282">
        <v>713</v>
      </c>
      <c r="AL61" s="282">
        <v>793</v>
      </c>
      <c r="AV61" s="282"/>
      <c r="AW61" s="282"/>
      <c r="AX61" s="282"/>
      <c r="AY61" s="282"/>
      <c r="AZ61" s="282"/>
    </row>
    <row r="62" spans="1:52" ht="12.75">
      <c r="A62" s="308" t="s">
        <v>371</v>
      </c>
      <c r="B62" s="313">
        <v>1</v>
      </c>
      <c r="C62" s="313">
        <v>1.1</v>
      </c>
      <c r="D62" s="313">
        <v>1.2</v>
      </c>
      <c r="E62" s="313">
        <f t="shared" si="45"/>
        <v>1.32</v>
      </c>
      <c r="F62" s="313">
        <f t="shared" si="46"/>
        <v>1.44</v>
      </c>
      <c r="G62" s="309"/>
      <c r="H62" s="313">
        <v>-0.25</v>
      </c>
      <c r="I62" s="313">
        <v>-0.25</v>
      </c>
      <c r="J62" s="313">
        <v>-0.25</v>
      </c>
      <c r="K62" s="313">
        <v>-0.25</v>
      </c>
      <c r="L62" s="313">
        <v>-0.25</v>
      </c>
      <c r="M62" s="309"/>
      <c r="N62" s="281" t="s">
        <v>399</v>
      </c>
      <c r="S62" s="296">
        <f>(0.0083*T49-0.05*P41+45.113*S29+(-2.54*P43+282.7*P38+(1000/G31)*P39+393.7*P40+182.5*P37)/1000)+(28.54*T49+38.19*P41+29.02*T51+32.36*P42+0.84*P45+(53.19*P43+29.4*P38+1.2*P39+11.77*P40+29.7*P37)/1000)*I5*10^-3</f>
        <v>69.6222370543768</v>
      </c>
      <c r="T62" s="296">
        <f>(2.629*T49+15.3*P41+5.344*T51+6.37*P42+(-0.0532*P43+2.44*P38+1.45*P39+8.393*P40+2.8*P37)/1000)*I5^2*10^-6-(3.826*P41+1.217*T51+0.186*P42+2.035*P40/1000)*I5^3*10^-9</f>
        <v>1.2050887824606815</v>
      </c>
      <c r="U62" s="296"/>
      <c r="V62" s="296"/>
      <c r="W62" s="296"/>
      <c r="AF62" s="283" t="s">
        <v>158</v>
      </c>
      <c r="AG62" s="283" t="s">
        <v>158</v>
      </c>
      <c r="AH62" s="283" t="s">
        <v>158</v>
      </c>
      <c r="AI62" s="283" t="s">
        <v>158</v>
      </c>
      <c r="AJ62" s="283" t="s">
        <v>158</v>
      </c>
      <c r="AK62" s="283" t="s">
        <v>158</v>
      </c>
      <c r="AL62" s="283" t="s">
        <v>158</v>
      </c>
      <c r="AV62" s="282"/>
      <c r="AW62" s="282"/>
      <c r="AX62" s="282"/>
      <c r="AY62" s="282"/>
      <c r="AZ62" s="282"/>
    </row>
    <row r="63" spans="1:52" ht="12.75">
      <c r="A63" s="308" t="s">
        <v>377</v>
      </c>
      <c r="B63" s="313">
        <v>2.3</v>
      </c>
      <c r="C63" s="313">
        <v>2.6</v>
      </c>
      <c r="D63" s="313">
        <v>2.9</v>
      </c>
      <c r="E63" s="313">
        <f t="shared" si="45"/>
        <v>3.19</v>
      </c>
      <c r="F63" s="313">
        <f t="shared" si="46"/>
        <v>3.48</v>
      </c>
      <c r="G63" s="309"/>
      <c r="H63" s="313">
        <v>-0.54</v>
      </c>
      <c r="I63" s="313">
        <v>-0.54</v>
      </c>
      <c r="J63" s="313">
        <v>-0.54</v>
      </c>
      <c r="K63" s="313">
        <v>-0.54</v>
      </c>
      <c r="L63" s="313">
        <v>-0.54</v>
      </c>
      <c r="M63" s="309"/>
      <c r="N63" s="283" t="s">
        <v>158</v>
      </c>
      <c r="O63" s="283" t="s">
        <v>158</v>
      </c>
      <c r="P63" s="283" t="s">
        <v>158</v>
      </c>
      <c r="Q63" s="283" t="s">
        <v>158</v>
      </c>
      <c r="R63" s="283" t="s">
        <v>158</v>
      </c>
      <c r="S63" s="305" t="s">
        <v>158</v>
      </c>
      <c r="T63" s="305" t="s">
        <v>158</v>
      </c>
      <c r="U63" s="305" t="s">
        <v>158</v>
      </c>
      <c r="V63" s="305" t="s">
        <v>158</v>
      </c>
      <c r="W63" s="296"/>
      <c r="AF63" s="284" t="s">
        <v>400</v>
      </c>
      <c r="AG63" s="282">
        <f aca="true" t="shared" si="47" ref="AG63:AL63">SUM(AG50:AG61)</f>
        <v>4058</v>
      </c>
      <c r="AH63" s="282">
        <f t="shared" si="47"/>
        <v>5018</v>
      </c>
      <c r="AI63" s="282">
        <f t="shared" si="47"/>
        <v>4933</v>
      </c>
      <c r="AJ63" s="282">
        <f t="shared" si="47"/>
        <v>5893</v>
      </c>
      <c r="AK63" s="282">
        <f t="shared" si="47"/>
        <v>5146</v>
      </c>
      <c r="AL63" s="282">
        <f t="shared" si="47"/>
        <v>6106</v>
      </c>
      <c r="AV63" s="282"/>
      <c r="AW63" s="282"/>
      <c r="AX63" s="282"/>
      <c r="AY63" s="282"/>
      <c r="AZ63" s="282"/>
    </row>
    <row r="64" spans="1:52" ht="12.75">
      <c r="A64" s="310" t="s">
        <v>158</v>
      </c>
      <c r="B64" s="310" t="s">
        <v>158</v>
      </c>
      <c r="C64" s="310" t="s">
        <v>158</v>
      </c>
      <c r="D64" s="310" t="s">
        <v>158</v>
      </c>
      <c r="E64" s="310" t="s">
        <v>158</v>
      </c>
      <c r="F64" s="310" t="s">
        <v>158</v>
      </c>
      <c r="G64" s="309"/>
      <c r="H64" s="310" t="s">
        <v>158</v>
      </c>
      <c r="I64" s="310" t="s">
        <v>158</v>
      </c>
      <c r="J64" s="310" t="s">
        <v>158</v>
      </c>
      <c r="K64" s="310" t="s">
        <v>158</v>
      </c>
      <c r="L64" s="310" t="s">
        <v>158</v>
      </c>
      <c r="M64" s="309"/>
      <c r="N64" s="281" t="s">
        <v>401</v>
      </c>
      <c r="P64" s="284" t="s">
        <v>402</v>
      </c>
      <c r="R64" s="281" t="s">
        <v>403</v>
      </c>
      <c r="S64" s="296"/>
      <c r="T64" s="304" t="s">
        <v>404</v>
      </c>
      <c r="U64" s="296"/>
      <c r="V64" s="296"/>
      <c r="W64" s="296"/>
      <c r="AV64" s="282"/>
      <c r="AW64" s="282"/>
      <c r="AX64" s="282"/>
      <c r="AY64" s="282"/>
      <c r="AZ64" s="282"/>
    </row>
    <row r="65" spans="1:52" ht="12.75">
      <c r="A65" s="312" t="s">
        <v>405</v>
      </c>
      <c r="B65" s="312" t="s">
        <v>159</v>
      </c>
      <c r="C65" s="312" t="s">
        <v>160</v>
      </c>
      <c r="D65" s="312" t="s">
        <v>161</v>
      </c>
      <c r="E65" s="312" t="s">
        <v>162</v>
      </c>
      <c r="F65" s="312" t="s">
        <v>163</v>
      </c>
      <c r="G65" s="309"/>
      <c r="H65" s="311" t="s">
        <v>159</v>
      </c>
      <c r="I65" s="311" t="s">
        <v>160</v>
      </c>
      <c r="J65" s="311" t="s">
        <v>161</v>
      </c>
      <c r="K65" s="311" t="s">
        <v>162</v>
      </c>
      <c r="L65" s="311" t="s">
        <v>163</v>
      </c>
      <c r="M65" s="309"/>
      <c r="N65" s="283" t="s">
        <v>158</v>
      </c>
      <c r="O65" s="283" t="s">
        <v>158</v>
      </c>
      <c r="P65" s="283" t="s">
        <v>158</v>
      </c>
      <c r="Q65" s="283" t="s">
        <v>158</v>
      </c>
      <c r="R65" s="283" t="s">
        <v>158</v>
      </c>
      <c r="S65" s="305" t="s">
        <v>158</v>
      </c>
      <c r="T65" s="305" t="s">
        <v>158</v>
      </c>
      <c r="U65" s="305" t="s">
        <v>158</v>
      </c>
      <c r="V65" s="305" t="s">
        <v>158</v>
      </c>
      <c r="W65" s="296"/>
      <c r="AF65" s="284" t="s">
        <v>406</v>
      </c>
      <c r="AV65" s="282"/>
      <c r="AW65" s="282"/>
      <c r="AX65" s="282"/>
      <c r="AY65" s="282"/>
      <c r="AZ65" s="282"/>
    </row>
    <row r="66" spans="1:52" ht="12.75">
      <c r="A66" s="310" t="s">
        <v>158</v>
      </c>
      <c r="B66" s="310" t="s">
        <v>158</v>
      </c>
      <c r="C66" s="310" t="s">
        <v>158</v>
      </c>
      <c r="D66" s="310" t="s">
        <v>158</v>
      </c>
      <c r="E66" s="310" t="s">
        <v>158</v>
      </c>
      <c r="F66" s="310" t="s">
        <v>158</v>
      </c>
      <c r="G66" s="309"/>
      <c r="H66" s="310" t="s">
        <v>158</v>
      </c>
      <c r="I66" s="310" t="s">
        <v>158</v>
      </c>
      <c r="J66" s="310" t="s">
        <v>158</v>
      </c>
      <c r="K66" s="310" t="s">
        <v>158</v>
      </c>
      <c r="L66" s="310" t="s">
        <v>158</v>
      </c>
      <c r="M66" s="309"/>
      <c r="N66" s="281" t="s">
        <v>407</v>
      </c>
      <c r="P66" s="287">
        <v>0</v>
      </c>
      <c r="R66" s="287">
        <v>1000</v>
      </c>
      <c r="S66" s="296"/>
      <c r="T66" s="304" t="s">
        <v>408</v>
      </c>
      <c r="U66" s="296"/>
      <c r="V66" s="296"/>
      <c r="W66" s="296"/>
      <c r="AF66" s="284" t="s">
        <v>409</v>
      </c>
      <c r="AV66" s="282"/>
      <c r="AW66" s="282"/>
      <c r="AX66" s="282"/>
      <c r="AY66" s="282"/>
      <c r="AZ66" s="282"/>
    </row>
    <row r="67" spans="1:52" ht="12.75">
      <c r="A67" s="308" t="s">
        <v>345</v>
      </c>
      <c r="B67" s="313">
        <f aca="true" t="shared" si="48" ref="B67:B77">0.5*D67</f>
        <v>0.8</v>
      </c>
      <c r="C67" s="313">
        <f aca="true" t="shared" si="49" ref="C67:C77">0.75*D67</f>
        <v>1.2000000000000002</v>
      </c>
      <c r="D67" s="313">
        <v>1.6</v>
      </c>
      <c r="E67" s="313">
        <f aca="true" t="shared" si="50" ref="E67:E77">1.25*D67</f>
        <v>2</v>
      </c>
      <c r="F67" s="313">
        <f aca="true" t="shared" si="51" ref="F67:F77">1.5*D67</f>
        <v>2.4000000000000004</v>
      </c>
      <c r="G67" s="309"/>
      <c r="H67" s="313">
        <v>-0.6</v>
      </c>
      <c r="I67" s="313">
        <v>-0.6</v>
      </c>
      <c r="J67" s="313">
        <v>-0.6</v>
      </c>
      <c r="K67" s="313">
        <v>-0.6</v>
      </c>
      <c r="L67" s="313">
        <v>-0.6</v>
      </c>
      <c r="M67" s="309"/>
      <c r="N67" s="281" t="s">
        <v>410</v>
      </c>
      <c r="P67" s="287">
        <f>D7</f>
        <v>0</v>
      </c>
      <c r="R67" s="286">
        <f>0.0083*T49+(28.54*T49+29.02*(T51+Q50))*D7*10^-3+(2.629*T49+5.344*(T51+Q50))*D7^2*10^-6-1.217*(T51+Q50)*D7^3*10^-9</f>
        <v>0.09536212620659394</v>
      </c>
      <c r="S67" s="296"/>
      <c r="T67" s="296"/>
      <c r="U67" s="296">
        <f>-2*SQRT(-V76)*COS(V79+4*PI()/3)-T78/(3*T79)</f>
        <v>1704.9302014550499</v>
      </c>
      <c r="V67" s="304" t="s">
        <v>365</v>
      </c>
      <c r="W67" s="296"/>
      <c r="AV67" s="282"/>
      <c r="AW67" s="282"/>
      <c r="AX67" s="282"/>
      <c r="AY67" s="282"/>
      <c r="AZ67" s="282"/>
    </row>
    <row r="68" spans="1:52" ht="12.75">
      <c r="A68" s="308" t="s">
        <v>347</v>
      </c>
      <c r="B68" s="313">
        <f t="shared" si="48"/>
        <v>0.8</v>
      </c>
      <c r="C68" s="313">
        <f t="shared" si="49"/>
        <v>1.2000000000000002</v>
      </c>
      <c r="D68" s="313">
        <v>1.6</v>
      </c>
      <c r="E68" s="313">
        <f t="shared" si="50"/>
        <v>2</v>
      </c>
      <c r="F68" s="313">
        <f t="shared" si="51"/>
        <v>2.4000000000000004</v>
      </c>
      <c r="G68" s="309"/>
      <c r="H68" s="313">
        <v>-0.6</v>
      </c>
      <c r="I68" s="313">
        <v>-0.6</v>
      </c>
      <c r="J68" s="313">
        <v>-0.6</v>
      </c>
      <c r="K68" s="313">
        <v>-0.6</v>
      </c>
      <c r="L68" s="313">
        <v>-0.6</v>
      </c>
      <c r="M68" s="309"/>
      <c r="N68" s="281" t="s">
        <v>411</v>
      </c>
      <c r="P68" s="287">
        <f>I7</f>
        <v>0</v>
      </c>
      <c r="R68" s="286">
        <f>0.0083*T49+(28.54*T49+29.02*(T51+Q50))*I7*10^-3+(2.629*T49+5.344*(T51+Q50))*I7^2*10^-6-1.217*(T51+Q50)*I7^3*10^-9</f>
        <v>0.09536212620659394</v>
      </c>
      <c r="S68" s="296"/>
      <c r="T68" s="296"/>
      <c r="U68" s="296"/>
      <c r="V68" s="296"/>
      <c r="W68" s="296"/>
      <c r="AF68" s="293" t="s">
        <v>412</v>
      </c>
      <c r="AG68" s="293" t="s">
        <v>413</v>
      </c>
      <c r="AH68" s="282"/>
      <c r="AI68" s="282"/>
      <c r="AJ68" s="282"/>
      <c r="AV68" s="282"/>
      <c r="AW68" s="282"/>
      <c r="AX68" s="282"/>
      <c r="AY68" s="282"/>
      <c r="AZ68" s="282"/>
    </row>
    <row r="69" spans="1:52" ht="12.75">
      <c r="A69" s="308" t="s">
        <v>349</v>
      </c>
      <c r="B69" s="313">
        <f t="shared" si="48"/>
        <v>0.9</v>
      </c>
      <c r="C69" s="313">
        <f t="shared" si="49"/>
        <v>1.35</v>
      </c>
      <c r="D69" s="313">
        <v>1.8</v>
      </c>
      <c r="E69" s="313">
        <f t="shared" si="50"/>
        <v>2.25</v>
      </c>
      <c r="F69" s="313">
        <f t="shared" si="51"/>
        <v>2.7</v>
      </c>
      <c r="G69" s="309"/>
      <c r="H69" s="313">
        <v>-0.6</v>
      </c>
      <c r="I69" s="313">
        <v>-0.6</v>
      </c>
      <c r="J69" s="313">
        <v>-0.6</v>
      </c>
      <c r="K69" s="313">
        <v>-0.6</v>
      </c>
      <c r="L69" s="313">
        <v>-0.6</v>
      </c>
      <c r="M69" s="309"/>
      <c r="N69" s="281" t="s">
        <v>414</v>
      </c>
      <c r="P69" s="287">
        <f>I5</f>
        <v>130</v>
      </c>
      <c r="R69" s="286">
        <f>45.13*S29+32.36*S29*I5*10^-3+6.37*S29*I5^2*10^-6-0.186*S29*I5^3*10^-9</f>
        <v>9.117416279345047</v>
      </c>
      <c r="S69" s="296"/>
      <c r="T69" s="296"/>
      <c r="U69" s="296"/>
      <c r="V69" s="296"/>
      <c r="W69" s="296"/>
      <c r="AF69" s="306" t="s">
        <v>241</v>
      </c>
      <c r="AG69" s="293" t="s">
        <v>415</v>
      </c>
      <c r="AH69" s="282"/>
      <c r="AI69" s="282"/>
      <c r="AJ69" s="282"/>
      <c r="AV69" s="282"/>
      <c r="AW69" s="282"/>
      <c r="AX69" s="282"/>
      <c r="AY69" s="282"/>
      <c r="AZ69" s="282"/>
    </row>
    <row r="70" spans="1:52" ht="12.75">
      <c r="A70" s="308" t="s">
        <v>355</v>
      </c>
      <c r="B70" s="313">
        <f t="shared" si="48"/>
        <v>1</v>
      </c>
      <c r="C70" s="313">
        <f t="shared" si="49"/>
        <v>1.5</v>
      </c>
      <c r="D70" s="313">
        <v>2</v>
      </c>
      <c r="E70" s="313">
        <f t="shared" si="50"/>
        <v>2.5</v>
      </c>
      <c r="F70" s="313">
        <f t="shared" si="51"/>
        <v>3</v>
      </c>
      <c r="G70" s="309"/>
      <c r="H70" s="313">
        <v>-0.55</v>
      </c>
      <c r="I70" s="313">
        <v>-0.55</v>
      </c>
      <c r="J70" s="313">
        <v>-0.55</v>
      </c>
      <c r="K70" s="313">
        <v>-0.55</v>
      </c>
      <c r="L70" s="313">
        <v>-0.55</v>
      </c>
      <c r="M70" s="309"/>
      <c r="N70" s="281" t="s">
        <v>416</v>
      </c>
      <c r="P70" s="287">
        <f>I5</f>
        <v>130</v>
      </c>
      <c r="R70" s="286">
        <f>0.0083*3.808*S50*(Q59-1)+(28.54*3.808*S50*(Q59-1)+29.02*S50*(Q59-1))*I5*10^-3+(2.629*3.808*S50*(Q59-1)+5.344*S50*(Q59-1))*I5^2*10^-6-1.217*S50*(Q59-1)*I5^3*10^-9</f>
        <v>9.134336841597845</v>
      </c>
      <c r="S70" s="296"/>
      <c r="T70" s="296"/>
      <c r="U70" s="296"/>
      <c r="V70" s="296"/>
      <c r="W70" s="296"/>
      <c r="AF70" s="306" t="s">
        <v>241</v>
      </c>
      <c r="AG70" s="293" t="s">
        <v>417</v>
      </c>
      <c r="AH70" s="282"/>
      <c r="AI70" s="282"/>
      <c r="AJ70" s="282"/>
      <c r="AV70" s="282"/>
      <c r="AW70" s="282"/>
      <c r="AX70" s="282"/>
      <c r="AY70" s="282"/>
      <c r="AZ70" s="282"/>
    </row>
    <row r="71" spans="1:52" ht="12.75">
      <c r="A71" s="308" t="s">
        <v>357</v>
      </c>
      <c r="B71" s="313">
        <f t="shared" si="48"/>
        <v>1.15</v>
      </c>
      <c r="C71" s="313">
        <f t="shared" si="49"/>
        <v>1.7249999999999999</v>
      </c>
      <c r="D71" s="313">
        <v>2.3</v>
      </c>
      <c r="E71" s="313">
        <f t="shared" si="50"/>
        <v>2.875</v>
      </c>
      <c r="F71" s="313">
        <f t="shared" si="51"/>
        <v>3.4499999999999997</v>
      </c>
      <c r="G71" s="309"/>
      <c r="H71" s="313">
        <v>-0.5</v>
      </c>
      <c r="I71" s="313">
        <v>-0.5</v>
      </c>
      <c r="J71" s="313">
        <v>-0.5</v>
      </c>
      <c r="K71" s="313">
        <v>-0.5</v>
      </c>
      <c r="L71" s="313">
        <v>-0.5</v>
      </c>
      <c r="M71" s="309"/>
      <c r="N71" s="281" t="s">
        <v>418</v>
      </c>
      <c r="P71" s="287">
        <f>I5</f>
        <v>130</v>
      </c>
      <c r="R71" s="286">
        <f>(282.7*P38+(1000/G31)*P39+393.7*P40+(29.4*P38+1.2*P39+11.77*P40)*I5*10^-3+(2.44*P38+1.45*P39+8.393*P40)*I5^2*10^-6-2.035*P40*I5^3*10^-9)/1000</f>
        <v>0.08722156270787436</v>
      </c>
      <c r="S71" s="296"/>
      <c r="T71" s="296"/>
      <c r="U71" s="296"/>
      <c r="V71" s="296"/>
      <c r="W71" s="296"/>
      <c r="AF71" s="282"/>
      <c r="AG71" s="293" t="s">
        <v>415</v>
      </c>
      <c r="AH71" s="282"/>
      <c r="AI71" s="282"/>
      <c r="AJ71" s="282"/>
      <c r="AV71" s="282"/>
      <c r="AW71" s="282"/>
      <c r="AX71" s="282"/>
      <c r="AY71" s="282"/>
      <c r="AZ71" s="282"/>
    </row>
    <row r="72" spans="1:52" ht="12.75">
      <c r="A72" s="308" t="s">
        <v>361</v>
      </c>
      <c r="B72" s="313">
        <f t="shared" si="48"/>
        <v>1.15</v>
      </c>
      <c r="C72" s="313">
        <f t="shared" si="49"/>
        <v>1.7249999999999999</v>
      </c>
      <c r="D72" s="313">
        <v>2.3</v>
      </c>
      <c r="E72" s="313">
        <f t="shared" si="50"/>
        <v>2.875</v>
      </c>
      <c r="F72" s="313">
        <f t="shared" si="51"/>
        <v>3.4499999999999997</v>
      </c>
      <c r="G72" s="309"/>
      <c r="H72" s="313">
        <v>-0.5</v>
      </c>
      <c r="I72" s="313">
        <v>-0.5</v>
      </c>
      <c r="J72" s="313">
        <v>-0.5</v>
      </c>
      <c r="K72" s="313">
        <v>-0.5</v>
      </c>
      <c r="L72" s="313">
        <v>-0.5</v>
      </c>
      <c r="M72" s="309"/>
      <c r="N72" s="281" t="s">
        <v>367</v>
      </c>
      <c r="P72" s="287">
        <f>I5</f>
        <v>130</v>
      </c>
      <c r="R72" s="286">
        <f>840*P45*I5*10^-6</f>
        <v>0.4998435262620232</v>
      </c>
      <c r="S72" s="296"/>
      <c r="T72" s="296"/>
      <c r="U72" s="296"/>
      <c r="V72" s="296"/>
      <c r="W72" s="296"/>
      <c r="AF72" s="282"/>
      <c r="AG72" s="293" t="s">
        <v>419</v>
      </c>
      <c r="AH72" s="282"/>
      <c r="AI72" s="282"/>
      <c r="AJ72" s="282"/>
      <c r="AV72" s="282"/>
      <c r="AW72" s="282"/>
      <c r="AX72" s="282"/>
      <c r="AY72" s="282"/>
      <c r="AZ72" s="282"/>
    </row>
    <row r="73" spans="1:52" ht="12.75">
      <c r="A73" s="308" t="s">
        <v>366</v>
      </c>
      <c r="B73" s="313">
        <f t="shared" si="48"/>
        <v>1.15</v>
      </c>
      <c r="C73" s="313">
        <f t="shared" si="49"/>
        <v>1.7249999999999999</v>
      </c>
      <c r="D73" s="313">
        <v>2.3</v>
      </c>
      <c r="E73" s="313">
        <f t="shared" si="50"/>
        <v>2.875</v>
      </c>
      <c r="F73" s="313">
        <f t="shared" si="51"/>
        <v>3.4499999999999997</v>
      </c>
      <c r="G73" s="309"/>
      <c r="H73" s="313">
        <v>-0.5</v>
      </c>
      <c r="I73" s="313">
        <v>-0.5</v>
      </c>
      <c r="J73" s="313">
        <v>-0.5</v>
      </c>
      <c r="K73" s="313">
        <v>-0.5</v>
      </c>
      <c r="L73" s="313">
        <v>-0.5</v>
      </c>
      <c r="M73" s="309"/>
      <c r="N73" s="281" t="s">
        <v>420</v>
      </c>
      <c r="P73" s="287">
        <f>I5</f>
        <v>130</v>
      </c>
      <c r="R73" s="286">
        <f>W73-R67-R69</f>
        <v>61.61454743128583</v>
      </c>
      <c r="S73" s="296"/>
      <c r="T73" s="296"/>
      <c r="U73" s="296"/>
      <c r="V73" s="296"/>
      <c r="W73" s="296">
        <f>S62+T62</f>
        <v>70.82732583683747</v>
      </c>
      <c r="AF73" s="282"/>
      <c r="AG73" s="293" t="s">
        <v>421</v>
      </c>
      <c r="AH73" s="282"/>
      <c r="AI73" s="282"/>
      <c r="AJ73" s="282"/>
      <c r="AV73" s="282"/>
      <c r="AW73" s="282"/>
      <c r="AX73" s="282"/>
      <c r="AY73" s="282"/>
      <c r="AZ73" s="282"/>
    </row>
    <row r="74" spans="1:52" ht="12.75">
      <c r="A74" s="308" t="s">
        <v>368</v>
      </c>
      <c r="B74" s="313">
        <f t="shared" si="48"/>
        <v>0.35</v>
      </c>
      <c r="C74" s="313">
        <f t="shared" si="49"/>
        <v>0.5249999999999999</v>
      </c>
      <c r="D74" s="313">
        <v>0.7</v>
      </c>
      <c r="E74" s="313">
        <f t="shared" si="50"/>
        <v>0.875</v>
      </c>
      <c r="F74" s="313">
        <f t="shared" si="51"/>
        <v>1.0499999999999998</v>
      </c>
      <c r="G74" s="309"/>
      <c r="H74" s="313">
        <v>-0.25</v>
      </c>
      <c r="I74" s="313">
        <v>-0.25</v>
      </c>
      <c r="J74" s="313">
        <v>-0.25</v>
      </c>
      <c r="K74" s="313">
        <v>-0.25</v>
      </c>
      <c r="L74" s="313">
        <v>-0.25</v>
      </c>
      <c r="M74" s="309"/>
      <c r="N74" s="281" t="s">
        <v>422</v>
      </c>
      <c r="R74" s="287">
        <f>S62+T62+(O29/2-P39/1000*D29/SUM(C29:G29)/$V$18)*45.113</f>
        <v>107.6020286235402</v>
      </c>
      <c r="S74" s="296"/>
      <c r="T74" s="296"/>
      <c r="U74" s="296"/>
      <c r="V74" s="296"/>
      <c r="W74" s="296"/>
      <c r="AF74" s="282"/>
      <c r="AG74" s="293" t="s">
        <v>423</v>
      </c>
      <c r="AH74" s="282"/>
      <c r="AI74" s="282"/>
      <c r="AJ74" s="282"/>
      <c r="AV74" s="282"/>
      <c r="AW74" s="282"/>
      <c r="AX74" s="282"/>
      <c r="AY74" s="282"/>
      <c r="AZ74" s="282"/>
    </row>
    <row r="75" spans="1:52" ht="12.75">
      <c r="A75" s="308" t="s">
        <v>370</v>
      </c>
      <c r="B75" s="313">
        <f t="shared" si="48"/>
        <v>0.15</v>
      </c>
      <c r="C75" s="313">
        <f t="shared" si="49"/>
        <v>0.22499999999999998</v>
      </c>
      <c r="D75" s="313">
        <v>0.3</v>
      </c>
      <c r="E75" s="313">
        <f t="shared" si="50"/>
        <v>0.375</v>
      </c>
      <c r="F75" s="313">
        <f t="shared" si="51"/>
        <v>0.44999999999999996</v>
      </c>
      <c r="G75" s="309"/>
      <c r="H75" s="313">
        <v>-0.25</v>
      </c>
      <c r="I75" s="313">
        <v>-0.25</v>
      </c>
      <c r="J75" s="313">
        <v>-0.25</v>
      </c>
      <c r="K75" s="313">
        <v>-0.25</v>
      </c>
      <c r="L75" s="313">
        <v>-0.25</v>
      </c>
      <c r="M75" s="309"/>
      <c r="N75" s="283" t="s">
        <v>158</v>
      </c>
      <c r="O75" s="283" t="s">
        <v>158</v>
      </c>
      <c r="P75" s="283" t="s">
        <v>158</v>
      </c>
      <c r="Q75" s="283" t="s">
        <v>158</v>
      </c>
      <c r="R75" s="283" t="s">
        <v>158</v>
      </c>
      <c r="S75" s="305" t="s">
        <v>158</v>
      </c>
      <c r="T75" s="305" t="s">
        <v>158</v>
      </c>
      <c r="U75" s="305" t="s">
        <v>158</v>
      </c>
      <c r="V75" s="305" t="s">
        <v>158</v>
      </c>
      <c r="W75" s="296"/>
      <c r="AF75" s="282"/>
      <c r="AG75" s="293" t="s">
        <v>424</v>
      </c>
      <c r="AH75" s="282"/>
      <c r="AI75" s="282"/>
      <c r="AJ75" s="282"/>
      <c r="AV75" s="282"/>
      <c r="AW75" s="282"/>
      <c r="AX75" s="282"/>
      <c r="AY75" s="282"/>
      <c r="AZ75" s="282"/>
    </row>
    <row r="76" spans="1:52" ht="12.75">
      <c r="A76" s="308" t="s">
        <v>371</v>
      </c>
      <c r="B76" s="313">
        <f t="shared" si="48"/>
        <v>0.25</v>
      </c>
      <c r="C76" s="313">
        <f t="shared" si="49"/>
        <v>0.375</v>
      </c>
      <c r="D76" s="313">
        <v>0.5</v>
      </c>
      <c r="E76" s="313">
        <f t="shared" si="50"/>
        <v>0.625</v>
      </c>
      <c r="F76" s="313">
        <f t="shared" si="51"/>
        <v>0.75</v>
      </c>
      <c r="G76" s="309"/>
      <c r="H76" s="313">
        <v>-0.25</v>
      </c>
      <c r="I76" s="313">
        <v>-0.25</v>
      </c>
      <c r="J76" s="313">
        <v>-0.25</v>
      </c>
      <c r="K76" s="313">
        <v>-0.25</v>
      </c>
      <c r="L76" s="313">
        <v>-0.25</v>
      </c>
      <c r="M76" s="309"/>
      <c r="N76" s="281" t="s">
        <v>425</v>
      </c>
      <c r="R76" s="286">
        <f>100*(1-R71/1000)</f>
        <v>99.99127784372921</v>
      </c>
      <c r="S76" s="304" t="s">
        <v>426</v>
      </c>
      <c r="T76" s="296">
        <f>(0.0083*T49-0.05*P41+45.13*P42+(-2.54*P43+282.7*P38+(1000/G31)*P39+393.7*P40+182.5*P37)/1000)</f>
        <v>46.31550563484059</v>
      </c>
      <c r="U76" s="304" t="s">
        <v>427</v>
      </c>
      <c r="V76" s="296">
        <f>(T77/(3*T79))-(T78/(3*T79))^2</f>
        <v>-23972375.954085574</v>
      </c>
      <c r="W76" s="296"/>
      <c r="AF76" s="282"/>
      <c r="AG76" s="293" t="s">
        <v>428</v>
      </c>
      <c r="AH76" s="282"/>
      <c r="AI76" s="282"/>
      <c r="AJ76" s="282"/>
      <c r="AV76" s="282"/>
      <c r="AW76" s="282"/>
      <c r="AX76" s="282"/>
      <c r="AY76" s="282"/>
      <c r="AZ76" s="282"/>
    </row>
    <row r="77" spans="1:52" ht="12.75">
      <c r="A77" s="308" t="s">
        <v>377</v>
      </c>
      <c r="B77" s="313">
        <f t="shared" si="48"/>
        <v>0.8</v>
      </c>
      <c r="C77" s="313">
        <f t="shared" si="49"/>
        <v>1.2000000000000002</v>
      </c>
      <c r="D77" s="313">
        <v>1.6</v>
      </c>
      <c r="E77" s="313">
        <f t="shared" si="50"/>
        <v>2</v>
      </c>
      <c r="F77" s="313">
        <f t="shared" si="51"/>
        <v>2.4000000000000004</v>
      </c>
      <c r="G77" s="309"/>
      <c r="H77" s="313">
        <v>-0.6</v>
      </c>
      <c r="I77" s="313">
        <v>-0.6</v>
      </c>
      <c r="J77" s="313">
        <v>-0.6</v>
      </c>
      <c r="K77" s="313">
        <v>-0.6</v>
      </c>
      <c r="L77" s="313">
        <v>-0.6</v>
      </c>
      <c r="M77" s="309"/>
      <c r="N77" s="281" t="s">
        <v>429</v>
      </c>
      <c r="R77" s="300">
        <f>100*(1-R73/1000)</f>
        <v>93.83854525687141</v>
      </c>
      <c r="S77" s="304" t="s">
        <v>430</v>
      </c>
      <c r="T77" s="296">
        <f>(28.54*T49+38.19*P41+29.02*T51+32.36*P42+0.84*P45+(53.19*P43+29.4*P38+1.2*P39+11.77*P40+29.7*P37)/1000)*10^-3</f>
        <v>0.46229559115824775</v>
      </c>
      <c r="U77" s="304" t="s">
        <v>431</v>
      </c>
      <c r="V77" s="296">
        <f>2*((T78/T79)/3)^3-T78*T77/(T79^2*3)+(T76-(1000+R68)*(1-V10/100))/T79</f>
        <v>-67418674535.357605</v>
      </c>
      <c r="W77" s="296"/>
      <c r="AF77" s="282"/>
      <c r="AG77" s="293" t="s">
        <v>432</v>
      </c>
      <c r="AH77" s="282"/>
      <c r="AI77" s="282"/>
      <c r="AJ77" s="282"/>
      <c r="AV77" s="282"/>
      <c r="AW77" s="282"/>
      <c r="AX77" s="282"/>
      <c r="AY77" s="282"/>
      <c r="AZ77" s="282"/>
    </row>
    <row r="78" spans="1:52" ht="12.75">
      <c r="A78" s="310" t="s">
        <v>158</v>
      </c>
      <c r="B78" s="310" t="s">
        <v>158</v>
      </c>
      <c r="C78" s="310" t="s">
        <v>158</v>
      </c>
      <c r="D78" s="310" t="s">
        <v>158</v>
      </c>
      <c r="E78" s="310" t="s">
        <v>158</v>
      </c>
      <c r="F78" s="310" t="s">
        <v>158</v>
      </c>
      <c r="G78" s="309"/>
      <c r="H78" s="310" t="s">
        <v>158</v>
      </c>
      <c r="I78" s="310" t="s">
        <v>158</v>
      </c>
      <c r="J78" s="310" t="s">
        <v>158</v>
      </c>
      <c r="K78" s="310" t="s">
        <v>158</v>
      </c>
      <c r="L78" s="310" t="s">
        <v>158</v>
      </c>
      <c r="M78" s="309"/>
      <c r="N78" s="281" t="s">
        <v>433</v>
      </c>
      <c r="R78" s="291">
        <f>U67</f>
        <v>1704.9302014550499</v>
      </c>
      <c r="S78" s="304" t="s">
        <v>434</v>
      </c>
      <c r="T78" s="296">
        <f>(2.629*T49+15.3*P41+5.344*T51+6.37*P42+(-0.0532*P43+2.44*P38+1.45*P39+8.393*P40+2.8*P37)/1000)*10^-6</f>
        <v>7.249049776521249E-05</v>
      </c>
      <c r="U78" s="304" t="s">
        <v>435</v>
      </c>
      <c r="V78" s="296">
        <f>V77/(2*SQRT(-(V76^3)))</f>
        <v>-0.28719944362575994</v>
      </c>
      <c r="W78" s="296"/>
      <c r="AF78" s="282"/>
      <c r="AG78" s="293" t="s">
        <v>436</v>
      </c>
      <c r="AH78" s="282"/>
      <c r="AI78" s="282"/>
      <c r="AJ78" s="282"/>
      <c r="AV78" s="282"/>
      <c r="AW78" s="282"/>
      <c r="AX78" s="282"/>
      <c r="AY78" s="282"/>
      <c r="AZ78" s="282"/>
    </row>
    <row r="79" spans="1:52" ht="12.75">
      <c r="A79" s="314" t="s">
        <v>437</v>
      </c>
      <c r="B79" s="312" t="s">
        <v>159</v>
      </c>
      <c r="C79" s="312" t="s">
        <v>160</v>
      </c>
      <c r="D79" s="312" t="s">
        <v>161</v>
      </c>
      <c r="E79" s="312" t="s">
        <v>162</v>
      </c>
      <c r="F79" s="312" t="s">
        <v>163</v>
      </c>
      <c r="G79" s="309"/>
      <c r="H79" s="311" t="s">
        <v>159</v>
      </c>
      <c r="I79" s="311" t="s">
        <v>160</v>
      </c>
      <c r="J79" s="311" t="s">
        <v>161</v>
      </c>
      <c r="K79" s="311" t="s">
        <v>162</v>
      </c>
      <c r="L79" s="311" t="s">
        <v>163</v>
      </c>
      <c r="M79" s="309"/>
      <c r="N79" s="282"/>
      <c r="O79" s="282"/>
      <c r="P79" s="282"/>
      <c r="Q79" s="282"/>
      <c r="R79" s="307"/>
      <c r="S79" s="304" t="s">
        <v>438</v>
      </c>
      <c r="T79" s="296">
        <f>-(3.826*P41+1.217*T51+0.186*P42+2.035*P40/1000)*10^-9</f>
        <v>-9.103609363409084E-09</v>
      </c>
      <c r="U79" s="304" t="s">
        <v>439</v>
      </c>
      <c r="V79" s="296">
        <f>(-ATAN(V78/SQRT(-(V78^2)+1))+PI()/2)/3</f>
        <v>0.6206993823129503</v>
      </c>
      <c r="W79" s="297"/>
      <c r="X79" s="282"/>
      <c r="Y79" s="282"/>
      <c r="Z79" s="282"/>
      <c r="AA79" s="282"/>
      <c r="AB79" s="282"/>
      <c r="AC79" s="282"/>
      <c r="AD79" s="282"/>
      <c r="AE79" s="282"/>
      <c r="AF79" s="282"/>
      <c r="AG79" s="293" t="s">
        <v>440</v>
      </c>
      <c r="AH79" s="282"/>
      <c r="AI79" s="282"/>
      <c r="AJ79" s="282"/>
      <c r="AK79" s="282"/>
      <c r="AL79" s="282"/>
      <c r="AM79" s="282"/>
      <c r="AN79" s="282"/>
      <c r="AO79" s="282"/>
      <c r="AP79" s="282"/>
      <c r="AQ79" s="282"/>
      <c r="AR79" s="282"/>
      <c r="AS79" s="282"/>
      <c r="AT79" s="282"/>
      <c r="AU79" s="282"/>
      <c r="AV79" s="282"/>
      <c r="AW79" s="282"/>
      <c r="AX79" s="282"/>
      <c r="AY79" s="282"/>
      <c r="AZ79" s="282"/>
    </row>
    <row r="80" spans="1:52" ht="12.75">
      <c r="A80" s="310" t="s">
        <v>158</v>
      </c>
      <c r="B80" s="310" t="s">
        <v>158</v>
      </c>
      <c r="C80" s="310" t="s">
        <v>158</v>
      </c>
      <c r="D80" s="310" t="s">
        <v>158</v>
      </c>
      <c r="E80" s="310" t="s">
        <v>158</v>
      </c>
      <c r="F80" s="310" t="s">
        <v>158</v>
      </c>
      <c r="G80" s="309"/>
      <c r="H80" s="310" t="s">
        <v>158</v>
      </c>
      <c r="I80" s="310" t="s">
        <v>158</v>
      </c>
      <c r="J80" s="310" t="s">
        <v>158</v>
      </c>
      <c r="K80" s="310" t="s">
        <v>158</v>
      </c>
      <c r="L80" s="310" t="s">
        <v>158</v>
      </c>
      <c r="M80" s="309"/>
      <c r="S80" s="297"/>
      <c r="T80" s="297"/>
      <c r="U80" s="297"/>
      <c r="V80" s="297"/>
      <c r="W80" s="297"/>
      <c r="X80" s="282"/>
      <c r="Y80" s="282"/>
      <c r="Z80" s="282"/>
      <c r="AA80" s="282"/>
      <c r="AB80" s="282"/>
      <c r="AC80" s="282"/>
      <c r="AD80" s="282"/>
      <c r="AE80" s="282"/>
      <c r="AF80" s="282"/>
      <c r="AG80" s="293" t="s">
        <v>441</v>
      </c>
      <c r="AH80" s="282"/>
      <c r="AI80" s="282"/>
      <c r="AJ80" s="282"/>
      <c r="AK80" s="282"/>
      <c r="AL80" s="282"/>
      <c r="AM80" s="282"/>
      <c r="AN80" s="282"/>
      <c r="AO80" s="282"/>
      <c r="AP80" s="282"/>
      <c r="AQ80" s="282"/>
      <c r="AR80" s="282"/>
      <c r="AS80" s="282"/>
      <c r="AT80" s="282"/>
      <c r="AU80" s="282"/>
      <c r="AV80" s="282"/>
      <c r="AW80" s="282"/>
      <c r="AX80" s="282"/>
      <c r="AY80" s="282"/>
      <c r="AZ80" s="282"/>
    </row>
    <row r="81" spans="1:52" ht="12.75">
      <c r="A81" s="308" t="s">
        <v>345</v>
      </c>
      <c r="B81" s="313">
        <v>1.2285</v>
      </c>
      <c r="C81" s="313">
        <v>1.9305</v>
      </c>
      <c r="D81" s="313">
        <v>2.9835</v>
      </c>
      <c r="E81" s="313">
        <v>3.431025</v>
      </c>
      <c r="F81" s="313">
        <v>3.87855</v>
      </c>
      <c r="G81" s="309"/>
      <c r="H81" s="313">
        <v>-0.6</v>
      </c>
      <c r="I81" s="313">
        <v>-0.6</v>
      </c>
      <c r="J81" s="313">
        <v>-0.6</v>
      </c>
      <c r="K81" s="313">
        <v>-0.6</v>
      </c>
      <c r="L81" s="313">
        <v>-0.6</v>
      </c>
      <c r="M81" s="357"/>
      <c r="N81" s="358"/>
      <c r="O81" s="358"/>
      <c r="P81" s="358"/>
      <c r="Q81" s="358"/>
      <c r="R81" s="358"/>
      <c r="S81" s="358"/>
      <c r="T81" s="358"/>
      <c r="U81" s="358"/>
      <c r="V81" s="358"/>
      <c r="W81" s="358"/>
      <c r="X81" s="358"/>
      <c r="Y81" s="358"/>
      <c r="Z81" s="358"/>
      <c r="AA81" s="282"/>
      <c r="AB81" s="282"/>
      <c r="AC81" s="282"/>
      <c r="AD81" s="282"/>
      <c r="AE81" s="282"/>
      <c r="AF81" s="282"/>
      <c r="AG81" s="293" t="s">
        <v>442</v>
      </c>
      <c r="AH81" s="282"/>
      <c r="AI81" s="282"/>
      <c r="AJ81" s="282"/>
      <c r="AK81" s="282"/>
      <c r="AL81" s="282"/>
      <c r="AM81" s="282"/>
      <c r="AN81" s="282"/>
      <c r="AO81" s="282"/>
      <c r="AP81" s="282"/>
      <c r="AQ81" s="282"/>
      <c r="AR81" s="282"/>
      <c r="AS81" s="282"/>
      <c r="AT81" s="282"/>
      <c r="AU81" s="282"/>
      <c r="AV81" s="282"/>
      <c r="AW81" s="282"/>
      <c r="AX81" s="282"/>
      <c r="AY81" s="282"/>
      <c r="AZ81" s="282"/>
    </row>
    <row r="82" spans="1:52" ht="12.75">
      <c r="A82" s="308" t="s">
        <v>347</v>
      </c>
      <c r="B82" s="313">
        <v>1.2285</v>
      </c>
      <c r="C82" s="313">
        <v>1.9305</v>
      </c>
      <c r="D82" s="313">
        <v>2.9835</v>
      </c>
      <c r="E82" s="313">
        <v>3.431025</v>
      </c>
      <c r="F82" s="313">
        <v>3.87855</v>
      </c>
      <c r="G82" s="309"/>
      <c r="H82" s="313">
        <v>-0.6</v>
      </c>
      <c r="I82" s="313">
        <v>-0.6</v>
      </c>
      <c r="J82" s="313">
        <v>-0.6</v>
      </c>
      <c r="K82" s="313">
        <v>-0.6</v>
      </c>
      <c r="L82" s="313">
        <v>-0.6</v>
      </c>
      <c r="M82" s="357"/>
      <c r="N82" s="358"/>
      <c r="O82" s="358"/>
      <c r="P82" s="358"/>
      <c r="Q82" s="358"/>
      <c r="R82" s="358"/>
      <c r="S82" s="358"/>
      <c r="T82" s="358"/>
      <c r="U82" s="358"/>
      <c r="V82" s="358"/>
      <c r="W82" s="358"/>
      <c r="X82" s="358"/>
      <c r="Y82" s="358"/>
      <c r="Z82" s="358"/>
      <c r="AA82" s="282"/>
      <c r="AB82" s="282"/>
      <c r="AC82" s="282"/>
      <c r="AD82" s="282"/>
      <c r="AE82" s="282"/>
      <c r="AF82" s="282"/>
      <c r="AG82" s="293" t="s">
        <v>443</v>
      </c>
      <c r="AH82" s="282"/>
      <c r="AI82" s="282"/>
      <c r="AJ82" s="282"/>
      <c r="AK82" s="282"/>
      <c r="AL82" s="282"/>
      <c r="AM82" s="282"/>
      <c r="AN82" s="282"/>
      <c r="AO82" s="282"/>
      <c r="AP82" s="282"/>
      <c r="AQ82" s="282"/>
      <c r="AR82" s="282"/>
      <c r="AS82" s="282"/>
      <c r="AT82" s="282"/>
      <c r="AU82" s="282"/>
      <c r="AV82" s="282"/>
      <c r="AW82" s="282"/>
      <c r="AX82" s="282"/>
      <c r="AY82" s="282"/>
      <c r="AZ82" s="282"/>
    </row>
    <row r="83" spans="1:52" ht="12.75">
      <c r="A83" s="308" t="s">
        <v>349</v>
      </c>
      <c r="B83" s="313">
        <v>1.2285</v>
      </c>
      <c r="C83" s="313">
        <v>1.9305</v>
      </c>
      <c r="D83" s="313">
        <v>2.9835</v>
      </c>
      <c r="E83" s="313">
        <v>3.431025</v>
      </c>
      <c r="F83" s="313">
        <v>3.87855</v>
      </c>
      <c r="G83" s="309"/>
      <c r="H83" s="313">
        <v>-0.6</v>
      </c>
      <c r="I83" s="313">
        <v>-0.6</v>
      </c>
      <c r="J83" s="313">
        <v>-0.6</v>
      </c>
      <c r="K83" s="313">
        <v>-0.6</v>
      </c>
      <c r="L83" s="313">
        <v>-0.6</v>
      </c>
      <c r="M83" s="357"/>
      <c r="N83" s="358"/>
      <c r="O83" s="358"/>
      <c r="P83" s="358"/>
      <c r="Q83" s="358"/>
      <c r="R83" s="358"/>
      <c r="S83" s="358"/>
      <c r="T83" s="358"/>
      <c r="U83" s="358"/>
      <c r="V83" s="358"/>
      <c r="W83" s="358"/>
      <c r="X83" s="358"/>
      <c r="Y83" s="358"/>
      <c r="Z83" s="358"/>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row>
    <row r="84" spans="1:52" ht="12.75">
      <c r="A84" s="308" t="s">
        <v>355</v>
      </c>
      <c r="B84" s="313">
        <v>1.2285</v>
      </c>
      <c r="C84" s="313">
        <v>1.9305</v>
      </c>
      <c r="D84" s="313">
        <v>2.9835</v>
      </c>
      <c r="E84" s="313">
        <v>3.431025</v>
      </c>
      <c r="F84" s="313">
        <v>3.87855</v>
      </c>
      <c r="G84" s="309"/>
      <c r="H84" s="313">
        <v>-0.55</v>
      </c>
      <c r="I84" s="313">
        <v>-0.55</v>
      </c>
      <c r="J84" s="313">
        <v>-0.55</v>
      </c>
      <c r="K84" s="313">
        <v>-0.55</v>
      </c>
      <c r="L84" s="313">
        <v>-0.55</v>
      </c>
      <c r="M84" s="357"/>
      <c r="N84" s="358"/>
      <c r="O84" s="358"/>
      <c r="P84" s="358"/>
      <c r="Q84" s="358"/>
      <c r="R84" s="358"/>
      <c r="S84" s="358"/>
      <c r="T84" s="358"/>
      <c r="U84" s="358"/>
      <c r="V84" s="358"/>
      <c r="W84" s="358"/>
      <c r="X84" s="358"/>
      <c r="Y84" s="358"/>
      <c r="Z84" s="358"/>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row>
    <row r="85" spans="1:52" ht="12.75">
      <c r="A85" s="308" t="s">
        <v>357</v>
      </c>
      <c r="B85" s="313">
        <v>1.2285</v>
      </c>
      <c r="C85" s="313">
        <v>1.9305</v>
      </c>
      <c r="D85" s="313">
        <v>2.9835</v>
      </c>
      <c r="E85" s="313">
        <v>3.431025</v>
      </c>
      <c r="F85" s="313">
        <v>3.87855</v>
      </c>
      <c r="G85" s="309"/>
      <c r="H85" s="313">
        <v>-0.5</v>
      </c>
      <c r="I85" s="313">
        <v>-0.5</v>
      </c>
      <c r="J85" s="313">
        <v>-0.5</v>
      </c>
      <c r="K85" s="313">
        <v>-0.5</v>
      </c>
      <c r="L85" s="313">
        <v>-0.5</v>
      </c>
      <c r="M85" s="357"/>
      <c r="N85" s="358"/>
      <c r="O85" s="358"/>
      <c r="P85" s="358"/>
      <c r="Q85" s="358"/>
      <c r="R85" s="358"/>
      <c r="S85" s="358"/>
      <c r="T85" s="358"/>
      <c r="U85" s="358"/>
      <c r="V85" s="358"/>
      <c r="W85" s="358"/>
      <c r="X85" s="358"/>
      <c r="Y85" s="358"/>
      <c r="Z85" s="358"/>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row>
    <row r="86" spans="1:52" ht="12.75">
      <c r="A86" s="308" t="s">
        <v>361</v>
      </c>
      <c r="B86" s="313">
        <v>1.2285</v>
      </c>
      <c r="C86" s="313">
        <v>1.9305</v>
      </c>
      <c r="D86" s="313">
        <v>2.9835</v>
      </c>
      <c r="E86" s="313">
        <v>3.431025</v>
      </c>
      <c r="F86" s="313">
        <v>3.87855</v>
      </c>
      <c r="G86" s="309"/>
      <c r="H86" s="313">
        <v>-0.5</v>
      </c>
      <c r="I86" s="313">
        <v>-0.5</v>
      </c>
      <c r="J86" s="313">
        <v>-0.5</v>
      </c>
      <c r="K86" s="313">
        <v>-0.5</v>
      </c>
      <c r="L86" s="313">
        <v>-0.5</v>
      </c>
      <c r="M86" s="357"/>
      <c r="N86" s="358"/>
      <c r="O86" s="358"/>
      <c r="P86" s="358"/>
      <c r="Q86" s="358"/>
      <c r="R86" s="358"/>
      <c r="S86" s="358"/>
      <c r="T86" s="358"/>
      <c r="U86" s="358"/>
      <c r="V86" s="358"/>
      <c r="W86" s="358"/>
      <c r="X86" s="358"/>
      <c r="Y86" s="358"/>
      <c r="Z86" s="358"/>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row>
    <row r="87" spans="1:52" ht="12.75">
      <c r="A87" s="308" t="s">
        <v>366</v>
      </c>
      <c r="B87" s="313">
        <v>1.2285</v>
      </c>
      <c r="C87" s="313">
        <v>1.9305</v>
      </c>
      <c r="D87" s="313">
        <v>2.9835</v>
      </c>
      <c r="E87" s="313">
        <v>3.431025</v>
      </c>
      <c r="F87" s="313">
        <v>3.87855</v>
      </c>
      <c r="G87" s="309"/>
      <c r="H87" s="313">
        <v>-0.5</v>
      </c>
      <c r="I87" s="313">
        <v>-0.5</v>
      </c>
      <c r="J87" s="313">
        <v>-0.5</v>
      </c>
      <c r="K87" s="313">
        <v>-0.5</v>
      </c>
      <c r="L87" s="313">
        <v>-0.5</v>
      </c>
      <c r="M87" s="357"/>
      <c r="N87" s="358"/>
      <c r="O87" s="358"/>
      <c r="P87" s="358"/>
      <c r="Q87" s="358"/>
      <c r="R87" s="358"/>
      <c r="S87" s="358"/>
      <c r="T87" s="358"/>
      <c r="U87" s="358"/>
      <c r="V87" s="358"/>
      <c r="W87" s="358"/>
      <c r="X87" s="358"/>
      <c r="Y87" s="358"/>
      <c r="Z87" s="358"/>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row>
    <row r="88" spans="1:52" ht="12.75">
      <c r="A88" s="308" t="s">
        <v>368</v>
      </c>
      <c r="B88" s="313">
        <v>0.4</v>
      </c>
      <c r="C88" s="313">
        <v>0.85</v>
      </c>
      <c r="D88" s="313">
        <v>1.5</v>
      </c>
      <c r="E88" s="313">
        <v>1.8</v>
      </c>
      <c r="F88" s="313">
        <v>2.5</v>
      </c>
      <c r="G88" s="309"/>
      <c r="H88" s="313">
        <v>-0.25</v>
      </c>
      <c r="I88" s="313">
        <v>-0.25</v>
      </c>
      <c r="J88" s="313">
        <v>-0.25</v>
      </c>
      <c r="K88" s="313">
        <v>-0.25</v>
      </c>
      <c r="L88" s="313">
        <v>-0.25</v>
      </c>
      <c r="M88" s="357"/>
      <c r="N88" s="358"/>
      <c r="O88" s="358"/>
      <c r="P88" s="358"/>
      <c r="Q88" s="358"/>
      <c r="R88" s="358"/>
      <c r="S88" s="358"/>
      <c r="T88" s="358"/>
      <c r="U88" s="358"/>
      <c r="V88" s="358"/>
      <c r="W88" s="358"/>
      <c r="X88" s="358"/>
      <c r="Y88" s="358"/>
      <c r="Z88" s="358"/>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row>
    <row r="89" spans="1:52" ht="12.75">
      <c r="A89" s="308" t="s">
        <v>370</v>
      </c>
      <c r="B89" s="313">
        <v>0</v>
      </c>
      <c r="C89" s="313">
        <v>0.4</v>
      </c>
      <c r="D89" s="313">
        <v>0.85</v>
      </c>
      <c r="E89" s="313">
        <v>1.5</v>
      </c>
      <c r="F89" s="313">
        <v>1.8</v>
      </c>
      <c r="G89" s="309"/>
      <c r="H89" s="313">
        <v>-0.25</v>
      </c>
      <c r="I89" s="313">
        <v>-0.25</v>
      </c>
      <c r="J89" s="313">
        <v>-0.25</v>
      </c>
      <c r="K89" s="313">
        <v>-0.25</v>
      </c>
      <c r="L89" s="313">
        <v>-0.25</v>
      </c>
      <c r="M89" s="357"/>
      <c r="N89" s="358"/>
      <c r="O89" s="358"/>
      <c r="P89" s="358"/>
      <c r="Q89" s="358"/>
      <c r="R89" s="358"/>
      <c r="S89" s="358"/>
      <c r="T89" s="358"/>
      <c r="U89" s="358"/>
      <c r="V89" s="358"/>
      <c r="W89" s="358"/>
      <c r="X89" s="358"/>
      <c r="Y89" s="358"/>
      <c r="Z89" s="358"/>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row>
    <row r="90" spans="1:52" ht="12.75">
      <c r="A90" s="308" t="s">
        <v>371</v>
      </c>
      <c r="B90" s="313">
        <v>0</v>
      </c>
      <c r="C90" s="313">
        <v>0.54</v>
      </c>
      <c r="D90" s="313">
        <v>0.945</v>
      </c>
      <c r="E90" s="313">
        <v>1.08675</v>
      </c>
      <c r="F90" s="313">
        <v>1.2285</v>
      </c>
      <c r="G90" s="309"/>
      <c r="H90" s="313">
        <v>-0.25</v>
      </c>
      <c r="I90" s="313">
        <v>-0.25</v>
      </c>
      <c r="J90" s="313">
        <v>-0.25</v>
      </c>
      <c r="K90" s="313">
        <v>-0.25</v>
      </c>
      <c r="L90" s="313">
        <v>-0.25</v>
      </c>
      <c r="M90" s="357"/>
      <c r="N90" s="358"/>
      <c r="O90" s="358"/>
      <c r="P90" s="358"/>
      <c r="Q90" s="358"/>
      <c r="R90" s="358"/>
      <c r="S90" s="358"/>
      <c r="T90" s="358"/>
      <c r="U90" s="358"/>
      <c r="V90" s="358"/>
      <c r="W90" s="358"/>
      <c r="X90" s="358"/>
      <c r="Y90" s="358"/>
      <c r="Z90" s="358"/>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row>
    <row r="91" spans="1:52" ht="12.75">
      <c r="A91" s="308" t="s">
        <v>377</v>
      </c>
      <c r="B91" s="313">
        <v>1.2285</v>
      </c>
      <c r="C91" s="313">
        <v>1.9305</v>
      </c>
      <c r="D91" s="313">
        <v>2.9835</v>
      </c>
      <c r="E91" s="313">
        <v>3.431025</v>
      </c>
      <c r="F91" s="313">
        <v>3.87855</v>
      </c>
      <c r="G91" s="309"/>
      <c r="H91" s="313">
        <v>-0.6</v>
      </c>
      <c r="I91" s="313">
        <v>-0.6</v>
      </c>
      <c r="J91" s="313">
        <v>-0.6</v>
      </c>
      <c r="K91" s="313">
        <v>-0.6</v>
      </c>
      <c r="L91" s="313">
        <v>-0.6</v>
      </c>
      <c r="M91" s="357"/>
      <c r="N91" s="358"/>
      <c r="O91" s="358"/>
      <c r="P91" s="358"/>
      <c r="Q91" s="358"/>
      <c r="R91" s="358"/>
      <c r="S91" s="358"/>
      <c r="T91" s="358"/>
      <c r="U91" s="358"/>
      <c r="V91" s="358"/>
      <c r="W91" s="358"/>
      <c r="X91" s="358"/>
      <c r="Y91" s="358"/>
      <c r="Z91" s="358"/>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row>
    <row r="92" spans="1:52" ht="12.75">
      <c r="A92" s="310" t="s">
        <v>158</v>
      </c>
      <c r="B92" s="310" t="s">
        <v>158</v>
      </c>
      <c r="C92" s="310" t="s">
        <v>158</v>
      </c>
      <c r="D92" s="310" t="s">
        <v>158</v>
      </c>
      <c r="E92" s="310" t="s">
        <v>158</v>
      </c>
      <c r="F92" s="310" t="s">
        <v>158</v>
      </c>
      <c r="G92" s="310" t="s">
        <v>158</v>
      </c>
      <c r="H92" s="310" t="s">
        <v>158</v>
      </c>
      <c r="I92" s="310" t="s">
        <v>158</v>
      </c>
      <c r="J92" s="310" t="s">
        <v>158</v>
      </c>
      <c r="K92" s="310" t="s">
        <v>158</v>
      </c>
      <c r="L92" s="310" t="s">
        <v>158</v>
      </c>
      <c r="M92" s="357"/>
      <c r="N92" s="359"/>
      <c r="O92" s="359"/>
      <c r="P92" s="359"/>
      <c r="Q92" s="359"/>
      <c r="R92" s="359"/>
      <c r="S92" s="359"/>
      <c r="T92" s="359"/>
      <c r="U92" s="359"/>
      <c r="V92" s="359"/>
      <c r="W92" s="359"/>
      <c r="X92" s="358"/>
      <c r="Y92" s="358"/>
      <c r="Z92" s="358"/>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row>
    <row r="93" spans="1:52" ht="12.75">
      <c r="A93" s="309"/>
      <c r="B93" s="309"/>
      <c r="C93" s="309"/>
      <c r="D93" s="309"/>
      <c r="E93" s="308" t="s">
        <v>341</v>
      </c>
      <c r="F93" s="309"/>
      <c r="G93" s="309"/>
      <c r="H93" s="309"/>
      <c r="I93" s="309"/>
      <c r="J93" s="309"/>
      <c r="K93" s="308" t="s">
        <v>341</v>
      </c>
      <c r="L93" s="309"/>
      <c r="M93" s="360"/>
      <c r="N93" s="360"/>
      <c r="O93" s="360"/>
      <c r="P93" s="360"/>
      <c r="Q93" s="360"/>
      <c r="R93" s="360"/>
      <c r="S93" s="360"/>
      <c r="T93" s="360"/>
      <c r="U93" s="360"/>
      <c r="V93" s="360"/>
      <c r="W93" s="361" t="s">
        <v>444</v>
      </c>
      <c r="X93" s="362"/>
      <c r="Y93" s="362"/>
      <c r="Z93" s="36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row>
    <row r="94" spans="1:52" ht="12.75">
      <c r="A94" s="308" t="s">
        <v>445</v>
      </c>
      <c r="B94" s="309"/>
      <c r="C94" s="309"/>
      <c r="D94" s="313">
        <f>SUM(A96:E106)</f>
        <v>6.350244510160434</v>
      </c>
      <c r="E94" s="313">
        <f>D94*$V$27</f>
        <v>190.546071796325</v>
      </c>
      <c r="F94" s="309"/>
      <c r="G94" s="308" t="s">
        <v>446</v>
      </c>
      <c r="H94" s="309"/>
      <c r="I94" s="309"/>
      <c r="J94" s="313">
        <f>SUM(G96:K106)</f>
        <v>0.1209699742737401</v>
      </c>
      <c r="K94" s="313">
        <f>J94*$V$24</f>
        <v>2.1793103775337097</v>
      </c>
      <c r="L94" s="309"/>
      <c r="M94" s="361" t="s">
        <v>447</v>
      </c>
      <c r="N94" s="360"/>
      <c r="O94" s="360"/>
      <c r="P94" s="360"/>
      <c r="Q94" s="360">
        <f>SUM(M96:Q106)</f>
        <v>0.2511886431509582</v>
      </c>
      <c r="R94" s="361" t="s">
        <v>448</v>
      </c>
      <c r="S94" s="360"/>
      <c r="T94" s="360"/>
      <c r="U94" s="360"/>
      <c r="V94" s="360">
        <f>SUM(S96:W106)</f>
        <v>0.11243859479359096</v>
      </c>
      <c r="W94" s="360">
        <f>V94*$V$19</f>
        <v>1.3505168278550401</v>
      </c>
      <c r="X94" s="362"/>
      <c r="Y94" s="362"/>
      <c r="Z94" s="36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row>
    <row r="95" spans="1:52" ht="12.75">
      <c r="A95" s="310" t="s">
        <v>158</v>
      </c>
      <c r="B95" s="310" t="s">
        <v>158</v>
      </c>
      <c r="C95" s="310" t="s">
        <v>158</v>
      </c>
      <c r="D95" s="310" t="s">
        <v>158</v>
      </c>
      <c r="E95" s="310" t="s">
        <v>158</v>
      </c>
      <c r="F95" s="309"/>
      <c r="G95" s="310" t="s">
        <v>158</v>
      </c>
      <c r="H95" s="310" t="s">
        <v>158</v>
      </c>
      <c r="I95" s="310" t="s">
        <v>158</v>
      </c>
      <c r="J95" s="310" t="s">
        <v>158</v>
      </c>
      <c r="K95" s="310" t="s">
        <v>158</v>
      </c>
      <c r="L95" s="309"/>
      <c r="M95" s="363" t="s">
        <v>158</v>
      </c>
      <c r="N95" s="363" t="s">
        <v>158</v>
      </c>
      <c r="O95" s="363" t="s">
        <v>158</v>
      </c>
      <c r="P95" s="363" t="s">
        <v>158</v>
      </c>
      <c r="Q95" s="363" t="s">
        <v>158</v>
      </c>
      <c r="R95" s="360"/>
      <c r="S95" s="363" t="s">
        <v>158</v>
      </c>
      <c r="T95" s="363" t="s">
        <v>158</v>
      </c>
      <c r="U95" s="363" t="s">
        <v>158</v>
      </c>
      <c r="V95" s="363" t="s">
        <v>158</v>
      </c>
      <c r="W95" s="363" t="s">
        <v>158</v>
      </c>
      <c r="X95" s="362"/>
      <c r="Y95" s="362"/>
      <c r="Z95" s="36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row>
    <row r="96" spans="1:52" ht="12.75">
      <c r="A96" s="364">
        <f aca="true" t="shared" si="52" ref="A96:E106">$B16/100*L$6/$V$27*10^(B39+H39*LOG($E$5))</f>
        <v>0</v>
      </c>
      <c r="B96" s="364">
        <f t="shared" si="52"/>
        <v>0</v>
      </c>
      <c r="C96" s="364">
        <f>$B16/100*N$6/$V$27*10^(D39+J39*LOG($E$5))</f>
        <v>0</v>
      </c>
      <c r="D96" s="364">
        <f>$B16/100*O$6/$V$27*10^(E39+K39*LOG($E$5))</f>
        <v>0</v>
      </c>
      <c r="E96" s="364">
        <f t="shared" si="52"/>
        <v>0</v>
      </c>
      <c r="F96" s="365"/>
      <c r="G96" s="364">
        <f aca="true" t="shared" si="53" ref="G96:K106">$B16/100*L$7/$V$26*10^(B53+H53*LOG($E$5))</f>
        <v>0</v>
      </c>
      <c r="H96" s="364">
        <f t="shared" si="53"/>
        <v>0</v>
      </c>
      <c r="I96" s="364">
        <f>$B16/100*N$7/$V$26*10^(D53+J53*LOG($E$5))</f>
        <v>0</v>
      </c>
      <c r="J96" s="364">
        <f>$B16/100*O$7/$V$26*10^(E53+K53*LOG($E$5))</f>
        <v>0</v>
      </c>
      <c r="K96" s="364">
        <f t="shared" si="53"/>
        <v>0</v>
      </c>
      <c r="L96" s="365"/>
      <c r="M96" s="360">
        <f aca="true" t="shared" si="54" ref="M96:Q106">$B16/100*L$8*10^(B67+H67*LOG($E$5))</f>
        <v>0</v>
      </c>
      <c r="N96" s="360">
        <f t="shared" si="54"/>
        <v>0</v>
      </c>
      <c r="O96" s="360">
        <f>$B16/100*N$8*10^(D67+J67*LOG($E$5))</f>
        <v>0</v>
      </c>
      <c r="P96" s="360">
        <f>$B16/100*O$8*10^(E67+K67*LOG($E$5))</f>
        <v>0</v>
      </c>
      <c r="Q96" s="360">
        <f t="shared" si="54"/>
        <v>0</v>
      </c>
      <c r="R96" s="360"/>
      <c r="S96" s="360">
        <f aca="true" t="shared" si="55" ref="S96:W106">$B16/100*L$9/$V$19*10^(B81+H81*LOG($E$5))</f>
        <v>0</v>
      </c>
      <c r="T96" s="360">
        <f t="shared" si="55"/>
        <v>0</v>
      </c>
      <c r="U96" s="360">
        <f>$B16/100*N$9/$V$19*10^(D81+J81*LOG($E$5))</f>
        <v>0</v>
      </c>
      <c r="V96" s="360">
        <f>$B16/100*O$9/$V$19*10^(E81+K81*LOG($E$5))</f>
        <v>0</v>
      </c>
      <c r="W96" s="360">
        <f t="shared" si="55"/>
        <v>0</v>
      </c>
      <c r="X96" s="362"/>
      <c r="Y96" s="362"/>
      <c r="Z96" s="36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row>
    <row r="97" spans="1:52" ht="12.75">
      <c r="A97" s="364">
        <f t="shared" si="52"/>
        <v>0</v>
      </c>
      <c r="B97" s="364">
        <f t="shared" si="52"/>
        <v>6.350244510160434</v>
      </c>
      <c r="C97" s="364">
        <f>$B17/100*N$6/$V$27*10^(D40+J40*LOG($E$5))</f>
        <v>0</v>
      </c>
      <c r="D97" s="364">
        <f>$B17/100*O$6/$V$27*10^(E40+K40*LOG($E$5))</f>
        <v>0</v>
      </c>
      <c r="E97" s="364">
        <f t="shared" si="52"/>
        <v>0</v>
      </c>
      <c r="F97" s="365"/>
      <c r="G97" s="364">
        <f t="shared" si="53"/>
        <v>0</v>
      </c>
      <c r="H97" s="364">
        <f t="shared" si="53"/>
        <v>0.1209699742737401</v>
      </c>
      <c r="I97" s="364">
        <f>$B17/100*N$7/$V$26*10^(D54+J54*LOG($E$5))</f>
        <v>0</v>
      </c>
      <c r="J97" s="364">
        <f>$B17/100*O$7/$V$26*10^(E54+K54*LOG($E$5))</f>
        <v>0</v>
      </c>
      <c r="K97" s="364">
        <f t="shared" si="53"/>
        <v>0</v>
      </c>
      <c r="L97" s="365"/>
      <c r="M97" s="360">
        <f t="shared" si="54"/>
        <v>0</v>
      </c>
      <c r="N97" s="360">
        <f t="shared" si="54"/>
        <v>0.2511886431509582</v>
      </c>
      <c r="O97" s="360">
        <f>$B17/100*N$8*10^(D68+J68*LOG($E$5))</f>
        <v>0</v>
      </c>
      <c r="P97" s="360">
        <f>$B17/100*O$8*10^(E68+K68*LOG($E$5))</f>
        <v>0</v>
      </c>
      <c r="Q97" s="360">
        <f t="shared" si="54"/>
        <v>0</v>
      </c>
      <c r="R97" s="360"/>
      <c r="S97" s="360">
        <f t="shared" si="55"/>
        <v>0</v>
      </c>
      <c r="T97" s="360">
        <f t="shared" si="55"/>
        <v>0.11243859479359096</v>
      </c>
      <c r="U97" s="360">
        <f>$B17/100*N$9/$V$19*10^(D82+J82*LOG($E$5))</f>
        <v>0</v>
      </c>
      <c r="V97" s="360">
        <f>$B17/100*O$9/$V$19*10^(E82+K82*LOG($E$5))</f>
        <v>0</v>
      </c>
      <c r="W97" s="360">
        <f t="shared" si="55"/>
        <v>0</v>
      </c>
      <c r="X97" s="362"/>
      <c r="Y97" s="362"/>
      <c r="Z97" s="36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row>
    <row r="98" spans="1:52" ht="12.75">
      <c r="A98" s="364">
        <f t="shared" si="52"/>
        <v>0</v>
      </c>
      <c r="B98" s="364">
        <f t="shared" si="52"/>
        <v>0</v>
      </c>
      <c r="C98" s="364">
        <f>$B18/100*N$6/$V$27*10^(D41+J41*LOG($E$5))</f>
        <v>0</v>
      </c>
      <c r="D98" s="364">
        <f>$B18/100*O$6/$V$27*10^(E41+K41*LOG($E$5))</f>
        <v>0</v>
      </c>
      <c r="E98" s="364">
        <f t="shared" si="52"/>
        <v>0</v>
      </c>
      <c r="F98" s="365"/>
      <c r="G98" s="364">
        <f t="shared" si="53"/>
        <v>0</v>
      </c>
      <c r="H98" s="364">
        <f t="shared" si="53"/>
        <v>0</v>
      </c>
      <c r="I98" s="364">
        <f>$B18/100*N$7/$V$26*10^(D55+J55*LOG($E$5))</f>
        <v>0</v>
      </c>
      <c r="J98" s="364">
        <f>$B18/100*O$7/$V$26*10^(E55+K55*LOG($E$5))</f>
        <v>0</v>
      </c>
      <c r="K98" s="364">
        <f t="shared" si="53"/>
        <v>0</v>
      </c>
      <c r="L98" s="365"/>
      <c r="M98" s="360">
        <f t="shared" si="54"/>
        <v>0</v>
      </c>
      <c r="N98" s="360">
        <f t="shared" si="54"/>
        <v>0</v>
      </c>
      <c r="O98" s="360">
        <f>$B18/100*N$8*10^(D69+J69*LOG($E$5))</f>
        <v>0</v>
      </c>
      <c r="P98" s="360">
        <f>$B18/100*O$8*10^(E69+K69*LOG($E$5))</f>
        <v>0</v>
      </c>
      <c r="Q98" s="360">
        <f t="shared" si="54"/>
        <v>0</v>
      </c>
      <c r="R98" s="360"/>
      <c r="S98" s="360">
        <f t="shared" si="55"/>
        <v>0</v>
      </c>
      <c r="T98" s="360">
        <f t="shared" si="55"/>
        <v>0</v>
      </c>
      <c r="U98" s="360">
        <f>$B18/100*N$9/$V$19*10^(D83+J83*LOG($E$5))</f>
        <v>0</v>
      </c>
      <c r="V98" s="360">
        <f>$B18/100*O$9/$V$19*10^(E83+K83*LOG($E$5))</f>
        <v>0</v>
      </c>
      <c r="W98" s="360">
        <f t="shared" si="55"/>
        <v>0</v>
      </c>
      <c r="X98" s="362"/>
      <c r="Y98" s="362"/>
      <c r="Z98" s="36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row>
    <row r="99" spans="1:52" ht="12.75">
      <c r="A99" s="364">
        <f t="shared" si="52"/>
        <v>0</v>
      </c>
      <c r="B99" s="364">
        <f t="shared" si="52"/>
        <v>0</v>
      </c>
      <c r="C99" s="364">
        <f>$B19/100*N$6/$V$27*10^(D42+J42*LOG($E$5))</f>
        <v>0</v>
      </c>
      <c r="D99" s="364">
        <f>$B19/100*O$6/$V$27*10^(E42+K42*LOG($E$5))</f>
        <v>0</v>
      </c>
      <c r="E99" s="364">
        <f t="shared" si="52"/>
        <v>0</v>
      </c>
      <c r="F99" s="365"/>
      <c r="G99" s="364">
        <f t="shared" si="53"/>
        <v>0</v>
      </c>
      <c r="H99" s="364">
        <f t="shared" si="53"/>
        <v>0</v>
      </c>
      <c r="I99" s="364">
        <f>$B19/100*N$7/$V$26*10^(D56+J56*LOG($E$5))</f>
        <v>0</v>
      </c>
      <c r="J99" s="364">
        <f>$B19/100*O$7/$V$26*10^(E56+K56*LOG($E$5))</f>
        <v>0</v>
      </c>
      <c r="K99" s="364">
        <f t="shared" si="53"/>
        <v>0</v>
      </c>
      <c r="L99" s="365"/>
      <c r="M99" s="360">
        <f t="shared" si="54"/>
        <v>0</v>
      </c>
      <c r="N99" s="360">
        <f t="shared" si="54"/>
        <v>0</v>
      </c>
      <c r="O99" s="360">
        <f>$B19/100*N$8*10^(D70+J70*LOG($E$5))</f>
        <v>0</v>
      </c>
      <c r="P99" s="360">
        <f>$B19/100*O$8*10^(E70+K70*LOG($E$5))</f>
        <v>0</v>
      </c>
      <c r="Q99" s="360">
        <f t="shared" si="54"/>
        <v>0</v>
      </c>
      <c r="R99" s="360"/>
      <c r="S99" s="360">
        <f t="shared" si="55"/>
        <v>0</v>
      </c>
      <c r="T99" s="360">
        <f t="shared" si="55"/>
        <v>0</v>
      </c>
      <c r="U99" s="360">
        <f>$B19/100*N$9/$V$19*10^(D84+J84*LOG($E$5))</f>
        <v>0</v>
      </c>
      <c r="V99" s="360">
        <f>$B19/100*O$9/$V$19*10^(E84+K84*LOG($E$5))</f>
        <v>0</v>
      </c>
      <c r="W99" s="360">
        <f t="shared" si="55"/>
        <v>0</v>
      </c>
      <c r="X99" s="362"/>
      <c r="Y99" s="362"/>
      <c r="Z99" s="36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row>
    <row r="100" spans="1:52" ht="12.75">
      <c r="A100" s="364">
        <f t="shared" si="52"/>
        <v>0</v>
      </c>
      <c r="B100" s="364">
        <f t="shared" si="52"/>
        <v>0</v>
      </c>
      <c r="C100" s="364">
        <f>$B20/100*N$6/$V$27*10^(D43+J43*LOG($E$5))</f>
        <v>0</v>
      </c>
      <c r="D100" s="364">
        <f>$B20/100*O$6/$V$27*10^(E43+K43*LOG($E$5))</f>
        <v>0</v>
      </c>
      <c r="E100" s="364">
        <f t="shared" si="52"/>
        <v>0</v>
      </c>
      <c r="F100" s="365"/>
      <c r="G100" s="364">
        <f t="shared" si="53"/>
        <v>0</v>
      </c>
      <c r="H100" s="364">
        <f t="shared" si="53"/>
        <v>0</v>
      </c>
      <c r="I100" s="364">
        <f>$B20/100*N$7/$V$26*10^(D57+J57*LOG($E$5))</f>
        <v>0</v>
      </c>
      <c r="J100" s="364">
        <f>$B20/100*O$7/$V$26*10^(E57+K57*LOG($E$5))</f>
        <v>0</v>
      </c>
      <c r="K100" s="364">
        <f t="shared" si="53"/>
        <v>0</v>
      </c>
      <c r="L100" s="365"/>
      <c r="M100" s="360">
        <f t="shared" si="54"/>
        <v>0</v>
      </c>
      <c r="N100" s="360">
        <f t="shared" si="54"/>
        <v>0</v>
      </c>
      <c r="O100" s="360">
        <f>$B20/100*N$8*10^(D71+J71*LOG($E$5))</f>
        <v>0</v>
      </c>
      <c r="P100" s="360">
        <f>$B20/100*O$8*10^(E71+K71*LOG($E$5))</f>
        <v>0</v>
      </c>
      <c r="Q100" s="360">
        <f t="shared" si="54"/>
        <v>0</v>
      </c>
      <c r="R100" s="360"/>
      <c r="S100" s="360">
        <f t="shared" si="55"/>
        <v>0</v>
      </c>
      <c r="T100" s="360">
        <f t="shared" si="55"/>
        <v>0</v>
      </c>
      <c r="U100" s="360">
        <f>$B20/100*N$9/$V$19*10^(D85+J85*LOG($E$5))</f>
        <v>0</v>
      </c>
      <c r="V100" s="360">
        <f>$B20/100*O$9/$V$19*10^(E85+K85*LOG($E$5))</f>
        <v>0</v>
      </c>
      <c r="W100" s="360">
        <f t="shared" si="55"/>
        <v>0</v>
      </c>
      <c r="X100" s="362"/>
      <c r="Y100" s="362"/>
      <c r="Z100" s="36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row>
    <row r="101" spans="1:26" ht="12.75">
      <c r="A101" s="364">
        <f t="shared" si="52"/>
        <v>0</v>
      </c>
      <c r="B101" s="364">
        <f t="shared" si="52"/>
        <v>0</v>
      </c>
      <c r="C101" s="364">
        <f>$B21/100*N$6/$V$27*10^(D44+J44*LOG($E$5))</f>
        <v>0</v>
      </c>
      <c r="D101" s="364">
        <f>$B21/100*O$6/$V$27*10^(E44+K44*LOG($E$5))</f>
        <v>0</v>
      </c>
      <c r="E101" s="364">
        <f t="shared" si="52"/>
        <v>0</v>
      </c>
      <c r="F101" s="365"/>
      <c r="G101" s="364">
        <f t="shared" si="53"/>
        <v>0</v>
      </c>
      <c r="H101" s="364">
        <f t="shared" si="53"/>
        <v>0</v>
      </c>
      <c r="I101" s="364">
        <f>$B21/100*N$7/$V$26*10^(D58+J58*LOG($E$5))</f>
        <v>0</v>
      </c>
      <c r="J101" s="364">
        <f>$B21/100*O$7/$V$26*10^(E58+K58*LOG($E$5))</f>
        <v>0</v>
      </c>
      <c r="K101" s="364">
        <f t="shared" si="53"/>
        <v>0</v>
      </c>
      <c r="L101" s="365"/>
      <c r="M101" s="360">
        <f t="shared" si="54"/>
        <v>0</v>
      </c>
      <c r="N101" s="360">
        <f t="shared" si="54"/>
        <v>0</v>
      </c>
      <c r="O101" s="360">
        <f>$B21/100*N$8*10^(D72+J72*LOG($E$5))</f>
        <v>0</v>
      </c>
      <c r="P101" s="360">
        <f>$B21/100*O$8*10^(E72+K72*LOG($E$5))</f>
        <v>0</v>
      </c>
      <c r="Q101" s="360">
        <f t="shared" si="54"/>
        <v>0</v>
      </c>
      <c r="R101" s="360"/>
      <c r="S101" s="360">
        <f t="shared" si="55"/>
        <v>0</v>
      </c>
      <c r="T101" s="360">
        <f t="shared" si="55"/>
        <v>0</v>
      </c>
      <c r="U101" s="360">
        <f>$B21/100*N$9/$V$19*10^(D86+J86*LOG($E$5))</f>
        <v>0</v>
      </c>
      <c r="V101" s="360">
        <f>$B21/100*O$9/$V$19*10^(E86+K86*LOG($E$5))</f>
        <v>0</v>
      </c>
      <c r="W101" s="360">
        <f t="shared" si="55"/>
        <v>0</v>
      </c>
      <c r="X101" s="360"/>
      <c r="Y101" s="360"/>
      <c r="Z101" s="360"/>
    </row>
    <row r="102" spans="1:26" ht="12.75">
      <c r="A102" s="364">
        <f t="shared" si="52"/>
        <v>0</v>
      </c>
      <c r="B102" s="364">
        <f t="shared" si="52"/>
        <v>0</v>
      </c>
      <c r="C102" s="364">
        <f>$B22/100*N$6/$V$27*10^(D45+J45*LOG($E$5))</f>
        <v>0</v>
      </c>
      <c r="D102" s="364">
        <f>$B22/100*O$6/$V$27*10^(E45+K45*LOG($E$5))</f>
        <v>0</v>
      </c>
      <c r="E102" s="364">
        <f t="shared" si="52"/>
        <v>0</v>
      </c>
      <c r="F102" s="365"/>
      <c r="G102" s="364">
        <f t="shared" si="53"/>
        <v>0</v>
      </c>
      <c r="H102" s="364">
        <f t="shared" si="53"/>
        <v>0</v>
      </c>
      <c r="I102" s="364">
        <f>$B22/100*N$7/$V$26*10^(D59+J59*LOG($E$5))</f>
        <v>0</v>
      </c>
      <c r="J102" s="364">
        <f>$B22/100*O$7/$V$26*10^(E59+K59*LOG($E$5))</f>
        <v>0</v>
      </c>
      <c r="K102" s="364">
        <f t="shared" si="53"/>
        <v>0</v>
      </c>
      <c r="L102" s="365"/>
      <c r="M102" s="360">
        <f t="shared" si="54"/>
        <v>0</v>
      </c>
      <c r="N102" s="360">
        <f t="shared" si="54"/>
        <v>0</v>
      </c>
      <c r="O102" s="360">
        <f>$B22/100*N$8*10^(D73+J73*LOG($E$5))</f>
        <v>0</v>
      </c>
      <c r="P102" s="360">
        <f>$B22/100*O$8*10^(E73+K73*LOG($E$5))</f>
        <v>0</v>
      </c>
      <c r="Q102" s="360">
        <f t="shared" si="54"/>
        <v>0</v>
      </c>
      <c r="R102" s="360"/>
      <c r="S102" s="360">
        <f t="shared" si="55"/>
        <v>0</v>
      </c>
      <c r="T102" s="360">
        <f t="shared" si="55"/>
        <v>0</v>
      </c>
      <c r="U102" s="360">
        <f>$B22/100*N$9/$V$19*10^(D87+J87*LOG($E$5))</f>
        <v>0</v>
      </c>
      <c r="V102" s="360">
        <f>$B22/100*O$9/$V$19*10^(E87+K87*LOG($E$5))</f>
        <v>0</v>
      </c>
      <c r="W102" s="360">
        <f t="shared" si="55"/>
        <v>0</v>
      </c>
      <c r="X102" s="360"/>
      <c r="Y102" s="360"/>
      <c r="Z102" s="360"/>
    </row>
    <row r="103" spans="1:26" ht="12.75">
      <c r="A103" s="364">
        <f t="shared" si="52"/>
        <v>0</v>
      </c>
      <c r="B103" s="364">
        <f t="shared" si="52"/>
        <v>0</v>
      </c>
      <c r="C103" s="364">
        <f>$B23/100*N$6/$V$27*10^(D46+J46*LOG($E$5))</f>
        <v>0</v>
      </c>
      <c r="D103" s="364">
        <f>$B23/100*O$6/$V$27*10^(E46+K46*LOG($E$5))</f>
        <v>0</v>
      </c>
      <c r="E103" s="364">
        <f t="shared" si="52"/>
        <v>0</v>
      </c>
      <c r="F103" s="365"/>
      <c r="G103" s="364">
        <f t="shared" si="53"/>
        <v>0</v>
      </c>
      <c r="H103" s="364">
        <f t="shared" si="53"/>
        <v>0</v>
      </c>
      <c r="I103" s="364">
        <f>$B23/100*N$7/$V$26*10^(D60+J60*LOG($E$5))</f>
        <v>0</v>
      </c>
      <c r="J103" s="364">
        <f>$B23/100*O$7/$V$26*10^(E60+K60*LOG($E$5))</f>
        <v>0</v>
      </c>
      <c r="K103" s="364">
        <f t="shared" si="53"/>
        <v>0</v>
      </c>
      <c r="L103" s="365"/>
      <c r="M103" s="360">
        <f t="shared" si="54"/>
        <v>0</v>
      </c>
      <c r="N103" s="360">
        <f t="shared" si="54"/>
        <v>0</v>
      </c>
      <c r="O103" s="360">
        <f>$B23/100*N$8*10^(D74+J74*LOG($E$5))</f>
        <v>0</v>
      </c>
      <c r="P103" s="360">
        <f>$B23/100*O$8*10^(E74+K74*LOG($E$5))</f>
        <v>0</v>
      </c>
      <c r="Q103" s="360">
        <f t="shared" si="54"/>
        <v>0</v>
      </c>
      <c r="R103" s="360"/>
      <c r="S103" s="360">
        <f t="shared" si="55"/>
        <v>0</v>
      </c>
      <c r="T103" s="360">
        <f t="shared" si="55"/>
        <v>0</v>
      </c>
      <c r="U103" s="360">
        <f>$B23/100*N$9/$V$19*10^(D88+J88*LOG($E$5))</f>
        <v>0</v>
      </c>
      <c r="V103" s="360">
        <f>$B23/100*O$9/$V$19*10^(E88+K88*LOG($E$5))</f>
        <v>0</v>
      </c>
      <c r="W103" s="360">
        <f t="shared" si="55"/>
        <v>0</v>
      </c>
      <c r="X103" s="360"/>
      <c r="Y103" s="360"/>
      <c r="Z103" s="360"/>
    </row>
    <row r="104" spans="1:26" ht="12.75">
      <c r="A104" s="364">
        <f t="shared" si="52"/>
        <v>0</v>
      </c>
      <c r="B104" s="364">
        <f t="shared" si="52"/>
        <v>0</v>
      </c>
      <c r="C104" s="364">
        <f>$B24/100*N$6/$V$27*10^(D47+J47*LOG($E$5))</f>
        <v>0</v>
      </c>
      <c r="D104" s="364">
        <f>$B24/100*O$6/$V$27*10^(E47+K47*LOG($E$5))</f>
        <v>0</v>
      </c>
      <c r="E104" s="364">
        <f t="shared" si="52"/>
        <v>0</v>
      </c>
      <c r="F104" s="365"/>
      <c r="G104" s="364">
        <f t="shared" si="53"/>
        <v>0</v>
      </c>
      <c r="H104" s="364">
        <f t="shared" si="53"/>
        <v>0</v>
      </c>
      <c r="I104" s="364">
        <f>$B24/100*N$7/$V$26*10^(D61+J61*LOG($E$5))</f>
        <v>0</v>
      </c>
      <c r="J104" s="364">
        <f>$B24/100*O$7/$V$26*10^(E61+K61*LOG($E$5))</f>
        <v>0</v>
      </c>
      <c r="K104" s="364">
        <f t="shared" si="53"/>
        <v>0</v>
      </c>
      <c r="L104" s="365"/>
      <c r="M104" s="360">
        <f t="shared" si="54"/>
        <v>0</v>
      </c>
      <c r="N104" s="360">
        <f t="shared" si="54"/>
        <v>0</v>
      </c>
      <c r="O104" s="360">
        <f>$B24/100*N$8*10^(D75+J75*LOG($E$5))</f>
        <v>0</v>
      </c>
      <c r="P104" s="360">
        <f>$B24/100*O$8*10^(E75+K75*LOG($E$5))</f>
        <v>0</v>
      </c>
      <c r="Q104" s="360">
        <f t="shared" si="54"/>
        <v>0</v>
      </c>
      <c r="R104" s="360"/>
      <c r="S104" s="360">
        <f t="shared" si="55"/>
        <v>0</v>
      </c>
      <c r="T104" s="360">
        <f t="shared" si="55"/>
        <v>0</v>
      </c>
      <c r="U104" s="360">
        <f>$B24/100*N$9/$V$19*10^(D89+J89*LOG($E$5))</f>
        <v>0</v>
      </c>
      <c r="V104" s="360">
        <f>$B24/100*O$9/$V$19*10^(E89+K89*LOG($E$5))</f>
        <v>0</v>
      </c>
      <c r="W104" s="360">
        <f t="shared" si="55"/>
        <v>0</v>
      </c>
      <c r="X104" s="360"/>
      <c r="Y104" s="360"/>
      <c r="Z104" s="360"/>
    </row>
    <row r="105" spans="1:26" ht="12.75">
      <c r="A105" s="364">
        <f t="shared" si="52"/>
        <v>0</v>
      </c>
      <c r="B105" s="364">
        <f t="shared" si="52"/>
        <v>0</v>
      </c>
      <c r="C105" s="364">
        <f>$B25/100*N$6/$V$27*10^(D48+J48*LOG($E$5))</f>
        <v>0</v>
      </c>
      <c r="D105" s="364">
        <f>$B25/100*O$6/$V$27*10^(E48+K48*LOG($E$5))</f>
        <v>0</v>
      </c>
      <c r="E105" s="364">
        <f t="shared" si="52"/>
        <v>0</v>
      </c>
      <c r="F105" s="365"/>
      <c r="G105" s="364">
        <f t="shared" si="53"/>
        <v>0</v>
      </c>
      <c r="H105" s="364">
        <f t="shared" si="53"/>
        <v>0</v>
      </c>
      <c r="I105" s="364">
        <f>$B25/100*N$7/$V$26*10^(D62+J62*LOG($E$5))</f>
        <v>0</v>
      </c>
      <c r="J105" s="364">
        <f>$B25/100*O$7/$V$26*10^(E62+K62*LOG($E$5))</f>
        <v>0</v>
      </c>
      <c r="K105" s="364">
        <f t="shared" si="53"/>
        <v>0</v>
      </c>
      <c r="L105" s="365"/>
      <c r="M105" s="360">
        <f t="shared" si="54"/>
        <v>0</v>
      </c>
      <c r="N105" s="360">
        <f t="shared" si="54"/>
        <v>0</v>
      </c>
      <c r="O105" s="360">
        <f>$B25/100*N$8*10^(D76+J76*LOG($E$5))</f>
        <v>0</v>
      </c>
      <c r="P105" s="360">
        <f>$B25/100*O$8*10^(E76+K76*LOG($E$5))</f>
        <v>0</v>
      </c>
      <c r="Q105" s="360">
        <f t="shared" si="54"/>
        <v>0</v>
      </c>
      <c r="R105" s="360"/>
      <c r="S105" s="360">
        <f t="shared" si="55"/>
        <v>0</v>
      </c>
      <c r="T105" s="360">
        <f t="shared" si="55"/>
        <v>0</v>
      </c>
      <c r="U105" s="360">
        <f>$B25/100*N$9/$V$19*10^(D90+J90*LOG($E$5))</f>
        <v>0</v>
      </c>
      <c r="V105" s="360">
        <f>$B25/100*O$9/$V$19*10^(E90+K90*LOG($E$5))</f>
        <v>0</v>
      </c>
      <c r="W105" s="360">
        <f t="shared" si="55"/>
        <v>0</v>
      </c>
      <c r="X105" s="360"/>
      <c r="Y105" s="360"/>
      <c r="Z105" s="360"/>
    </row>
    <row r="106" spans="1:26" ht="12.75">
      <c r="A106" s="364">
        <f t="shared" si="52"/>
        <v>0</v>
      </c>
      <c r="B106" s="364">
        <f t="shared" si="52"/>
        <v>0</v>
      </c>
      <c r="C106" s="364">
        <f>$B26/100*N$6/$V$27*10^(D49+J49*LOG($E$5))</f>
        <v>0</v>
      </c>
      <c r="D106" s="364">
        <f>$B26/100*O$6/$V$27*10^(E49+K49*LOG($E$5))</f>
        <v>0</v>
      </c>
      <c r="E106" s="364">
        <f t="shared" si="52"/>
        <v>0</v>
      </c>
      <c r="F106" s="365"/>
      <c r="G106" s="364">
        <f t="shared" si="53"/>
        <v>0</v>
      </c>
      <c r="H106" s="364">
        <f t="shared" si="53"/>
        <v>0</v>
      </c>
      <c r="I106" s="364">
        <f>$B26/100*N$7/$V$26*10^(D63+J63*LOG($E$5))</f>
        <v>0</v>
      </c>
      <c r="J106" s="364">
        <f>$B26/100*O$7/$V$26*10^(E63+K63*LOG($E$5))</f>
        <v>0</v>
      </c>
      <c r="K106" s="364">
        <f t="shared" si="53"/>
        <v>0</v>
      </c>
      <c r="L106" s="365"/>
      <c r="M106" s="360">
        <f t="shared" si="54"/>
        <v>0</v>
      </c>
      <c r="N106" s="360">
        <f t="shared" si="54"/>
        <v>0</v>
      </c>
      <c r="O106" s="360">
        <f>$B26/100*N$8*10^(D77+J77*LOG($E$5))</f>
        <v>0</v>
      </c>
      <c r="P106" s="360">
        <f>$B26/100*O$8*10^(E77+K77*LOG($E$5))</f>
        <v>0</v>
      </c>
      <c r="Q106" s="360">
        <f t="shared" si="54"/>
        <v>0</v>
      </c>
      <c r="R106" s="360"/>
      <c r="S106" s="360">
        <f t="shared" si="55"/>
        <v>0</v>
      </c>
      <c r="T106" s="360">
        <f t="shared" si="55"/>
        <v>0</v>
      </c>
      <c r="U106" s="360">
        <f>$B26/100*N$9/$V$19*10^(D91+J91*LOG($E$5))</f>
        <v>0</v>
      </c>
      <c r="V106" s="360">
        <f>$B26/100*O$9/$V$19*10^(E91+K91*LOG($E$5))</f>
        <v>0</v>
      </c>
      <c r="W106" s="360">
        <f t="shared" si="55"/>
        <v>0</v>
      </c>
      <c r="X106" s="360"/>
      <c r="Y106" s="360"/>
      <c r="Z106" s="360"/>
    </row>
    <row r="107" spans="1:26" ht="12.75">
      <c r="A107" s="310" t="s">
        <v>158</v>
      </c>
      <c r="B107" s="310" t="s">
        <v>158</v>
      </c>
      <c r="C107" s="310" t="s">
        <v>158</v>
      </c>
      <c r="D107" s="310" t="s">
        <v>158</v>
      </c>
      <c r="E107" s="310" t="s">
        <v>158</v>
      </c>
      <c r="F107" s="309"/>
      <c r="G107" s="310" t="s">
        <v>158</v>
      </c>
      <c r="H107" s="310" t="s">
        <v>158</v>
      </c>
      <c r="I107" s="310" t="s">
        <v>158</v>
      </c>
      <c r="J107" s="310" t="s">
        <v>158</v>
      </c>
      <c r="K107" s="310" t="s">
        <v>158</v>
      </c>
      <c r="L107" s="309"/>
      <c r="M107" s="363" t="s">
        <v>158</v>
      </c>
      <c r="N107" s="363" t="s">
        <v>158</v>
      </c>
      <c r="O107" s="363" t="s">
        <v>158</v>
      </c>
      <c r="P107" s="363" t="s">
        <v>158</v>
      </c>
      <c r="Q107" s="363" t="s">
        <v>158</v>
      </c>
      <c r="R107" s="360"/>
      <c r="S107" s="363" t="s">
        <v>158</v>
      </c>
      <c r="T107" s="363" t="s">
        <v>158</v>
      </c>
      <c r="U107" s="363" t="s">
        <v>158</v>
      </c>
      <c r="V107" s="363" t="s">
        <v>158</v>
      </c>
      <c r="W107" s="363" t="s">
        <v>158</v>
      </c>
      <c r="X107" s="360"/>
      <c r="Y107" s="360"/>
      <c r="Z107" s="360"/>
    </row>
    <row r="108" spans="14:24" ht="12.75">
      <c r="N108" s="296"/>
      <c r="O108" s="355"/>
      <c r="P108" s="355"/>
      <c r="Q108" s="355"/>
      <c r="R108" s="355"/>
      <c r="S108" s="355"/>
      <c r="T108" s="355"/>
      <c r="U108" s="355"/>
      <c r="V108" s="355"/>
      <c r="W108" s="355"/>
      <c r="X108" s="356"/>
    </row>
    <row r="110" spans="2:5" ht="12.75">
      <c r="B110" s="282"/>
      <c r="C110" s="282"/>
      <c r="D110" s="282"/>
      <c r="E110" s="282"/>
    </row>
    <row r="111" spans="2:6" ht="12.75">
      <c r="B111" s="282">
        <v>1.9305</v>
      </c>
      <c r="C111" s="282">
        <v>1.9305</v>
      </c>
      <c r="D111" s="282">
        <v>2.9835</v>
      </c>
      <c r="E111" s="282">
        <v>3.431025</v>
      </c>
      <c r="F111" s="282">
        <v>3.87855</v>
      </c>
    </row>
    <row r="112" spans="2:6" ht="12.75">
      <c r="B112" s="282">
        <v>1.2285</v>
      </c>
      <c r="C112" s="282">
        <v>1.9305</v>
      </c>
      <c r="D112" s="282">
        <v>2.9835</v>
      </c>
      <c r="E112" s="282">
        <v>3.431025</v>
      </c>
      <c r="F112" s="282">
        <v>3.87855</v>
      </c>
    </row>
    <row r="113" spans="2:6" ht="12.75">
      <c r="B113" s="282">
        <v>1.2285</v>
      </c>
      <c r="C113" s="282">
        <v>1.9305</v>
      </c>
      <c r="D113" s="282">
        <v>2.9835</v>
      </c>
      <c r="E113" s="282">
        <v>3.431025</v>
      </c>
      <c r="F113" s="282">
        <v>3.87855</v>
      </c>
    </row>
    <row r="114" spans="2:6" ht="12.75">
      <c r="B114" s="282">
        <v>1.2285</v>
      </c>
      <c r="C114" s="282">
        <v>1.9305</v>
      </c>
      <c r="D114" s="282">
        <v>2.9835</v>
      </c>
      <c r="E114" s="282">
        <v>3.431025</v>
      </c>
      <c r="F114" s="282">
        <v>3.87855</v>
      </c>
    </row>
    <row r="115" spans="2:6" ht="12.75">
      <c r="B115" s="282">
        <v>1.2285</v>
      </c>
      <c r="C115" s="282">
        <v>1.9305</v>
      </c>
      <c r="D115" s="282">
        <v>2.9835</v>
      </c>
      <c r="E115" s="282">
        <v>3.431025</v>
      </c>
      <c r="F115" s="282">
        <v>3.87855</v>
      </c>
    </row>
    <row r="116" spans="2:6" ht="12.75">
      <c r="B116" s="282">
        <v>1.2285</v>
      </c>
      <c r="C116" s="282">
        <v>1.9305</v>
      </c>
      <c r="D116" s="282">
        <v>2.9835</v>
      </c>
      <c r="E116" s="282">
        <v>3.431025</v>
      </c>
      <c r="F116" s="282">
        <v>3.87855</v>
      </c>
    </row>
    <row r="117" spans="2:6" ht="12.75">
      <c r="B117" s="282">
        <v>1.2285</v>
      </c>
      <c r="C117" s="282">
        <v>1.9305</v>
      </c>
      <c r="D117" s="282">
        <v>2.9835</v>
      </c>
      <c r="E117" s="282">
        <v>3.431025</v>
      </c>
      <c r="F117" s="282">
        <v>3.87855</v>
      </c>
    </row>
    <row r="118" spans="2:6" ht="12.75">
      <c r="B118" s="282">
        <v>0</v>
      </c>
      <c r="C118" s="282">
        <v>0.702</v>
      </c>
      <c r="D118" s="282">
        <v>1.755</v>
      </c>
      <c r="E118" s="282">
        <v>2.01825</v>
      </c>
      <c r="F118" s="282">
        <v>2.2815</v>
      </c>
    </row>
    <row r="119" spans="2:6" ht="12.75">
      <c r="B119" s="282">
        <v>0</v>
      </c>
      <c r="C119" s="282">
        <v>0.54</v>
      </c>
      <c r="D119" s="282">
        <v>0.945</v>
      </c>
      <c r="E119" s="282">
        <v>1.08675</v>
      </c>
      <c r="F119" s="282">
        <v>1.2285</v>
      </c>
    </row>
    <row r="120" spans="2:6" ht="12.75">
      <c r="B120" s="282">
        <v>0</v>
      </c>
      <c r="C120" s="282">
        <v>0.54</v>
      </c>
      <c r="D120" s="282">
        <v>0.945</v>
      </c>
      <c r="E120" s="282">
        <v>1.08675</v>
      </c>
      <c r="F120" s="282">
        <v>1.2285</v>
      </c>
    </row>
    <row r="121" spans="2:6" ht="12.75">
      <c r="B121" s="282">
        <v>1.2285</v>
      </c>
      <c r="C121" s="282">
        <v>1.9305</v>
      </c>
      <c r="D121" s="282">
        <v>2.9835</v>
      </c>
      <c r="E121" s="282">
        <v>3.431025</v>
      </c>
      <c r="F121" s="282">
        <v>3.87855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Kansanterveyslaitos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 Jantunen</dc:creator>
  <cp:keywords/>
  <dc:description/>
  <cp:lastModifiedBy>ktluser</cp:lastModifiedBy>
  <dcterms:created xsi:type="dcterms:W3CDTF">2009-09-03T11:56:25Z</dcterms:created>
  <dcterms:modified xsi:type="dcterms:W3CDTF">2010-01-24T22:57:02Z</dcterms:modified>
  <cp:category/>
  <cp:version/>
  <cp:contentType/>
  <cp:contentStatus/>
</cp:coreProperties>
</file>