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verall" sheetId="1" r:id="rId1"/>
    <sheet name="dioxin" sheetId="2" r:id="rId2"/>
  </sheets>
  <definedNames/>
  <calcPr fullCalcOnLoad="1"/>
</workbook>
</file>

<file path=xl/comments1.xml><?xml version="1.0" encoding="utf-8"?>
<comments xmlns="http://schemas.openxmlformats.org/spreadsheetml/2006/main">
  <authors>
    <author>OL</author>
    <author>pku</author>
  </authors>
  <commentList>
    <comment ref="I2" authorId="0">
      <text>
        <r>
          <rPr>
            <sz val="10"/>
            <rFont val="Arial"/>
            <family val="0"/>
          </rPr>
          <t>juha:
for units, see column A</t>
        </r>
      </text>
    </comment>
    <comment ref="J2" authorId="0">
      <text>
        <r>
          <rPr>
            <sz val="10"/>
            <rFont val="Arial"/>
            <family val="0"/>
          </rPr>
          <t>Juha Pekkanen:
Either natural background or if the dose-response slope does not go to zero</t>
        </r>
      </text>
    </comment>
    <comment ref="L2" authorId="0">
      <text>
        <r>
          <rPr>
            <sz val="10"/>
            <rFont val="Arial"/>
            <family val="0"/>
          </rPr>
          <t>juha:
for units, see column B</t>
        </r>
      </text>
    </comment>
    <comment ref="S2" authorId="0">
      <text>
        <r>
          <rPr>
            <sz val="10"/>
            <rFont val="Arial"/>
            <family val="0"/>
          </rPr>
          <t>juha:
for the disease, see column C</t>
        </r>
      </text>
    </comment>
    <comment ref="J3" authorId="0">
      <text>
        <r>
          <rPr>
            <sz val="10"/>
            <rFont val="Arial"/>
            <family val="0"/>
          </rPr>
          <t>eeero priha:
outdor air concentration</t>
        </r>
      </text>
    </comment>
    <comment ref="P3" authorId="0">
      <text>
        <r>
          <rPr>
            <sz val="10"/>
            <rFont val="Arial"/>
            <family val="0"/>
          </rPr>
          <t>eeero priha:
darby etc</t>
        </r>
      </text>
    </comment>
    <comment ref="G4" authorId="0">
      <text>
        <r>
          <rPr>
            <sz val="10"/>
            <rFont val="Arial"/>
            <family val="0"/>
          </rPr>
          <t>eeero priha:
lower 2.5% confidence limit of average exposure and  dose-response and N of exposed</t>
        </r>
      </text>
    </comment>
    <comment ref="G5" authorId="0">
      <text>
        <r>
          <rPr>
            <sz val="10"/>
            <rFont val="Arial"/>
            <family val="0"/>
          </rPr>
          <t>eeero priha:
upper 97.5% confidence limit of average exposure and  dose-response and N of exposed</t>
        </r>
      </text>
    </comment>
    <comment ref="A6" authorId="0">
      <text>
        <r>
          <rPr>
            <sz val="10"/>
            <rFont val="Arial"/>
            <family val="0"/>
          </rPr>
          <t>juha:
1000 työläistä, jotka alitistuvat työssään keskimäärin 40v</t>
        </r>
      </text>
    </comment>
    <comment ref="B6" authorId="0">
      <text>
        <r>
          <rPr>
            <sz val="10"/>
            <rFont val="Arial"/>
            <family val="0"/>
          </rPr>
          <t>juha:
1000 työläistä, jotka alitistuvat työssään keskimäärin 40v</t>
        </r>
      </text>
    </comment>
    <comment ref="K6" authorId="0">
      <text>
        <r>
          <rPr>
            <sz val="10"/>
            <rFont val="Arial"/>
            <family val="0"/>
          </rPr>
          <t>juha:
karkea arvio, työ kestää 40v, josta töissä n. 7 vuotta</t>
        </r>
      </text>
    </comment>
    <comment ref="L6" authorId="0">
      <text>
        <r>
          <rPr>
            <sz val="10"/>
            <rFont val="Arial"/>
            <family val="0"/>
          </rPr>
          <t>juha:
WHO 2000</t>
        </r>
      </text>
    </comment>
    <comment ref="G7" authorId="0">
      <text>
        <r>
          <rPr>
            <sz val="10"/>
            <rFont val="Arial"/>
            <family val="0"/>
          </rPr>
          <t>eeero priha:
lower 2.5% confidence limit of average exposure and  dose-response and N of exposed</t>
        </r>
      </text>
    </comment>
    <comment ref="G8" authorId="0">
      <text>
        <r>
          <rPr>
            <sz val="10"/>
            <rFont val="Arial"/>
            <family val="0"/>
          </rPr>
          <t>eeero priha:
upper 97.5% confidence limit of average exposure and  dose-response and N of exposed</t>
        </r>
      </text>
    </comment>
    <comment ref="V9" authorId="0">
      <text>
        <r>
          <rPr>
            <sz val="10"/>
            <rFont val="Arial"/>
            <family val="0"/>
          </rPr>
          <t>Olli Leino
1) Häkätapaturmat 1995-1999= 285 =&gt; per vuosi = 285/5
http://www.terveysportti.fi/terveyskirjasto/tk.koti?p_artikkeli=sae25150
2) Accitental poisonings = 516
http://www.who.int/whosis/database/mort/table1_process.cfm
3) CO poisonings 2003 
= 4
http://www.pelastustoimi.fi/turvatietoa/arjen-turvaa/</t>
        </r>
      </text>
    </comment>
    <comment ref="H10" authorId="0">
      <text>
        <r>
          <rPr>
            <sz val="10"/>
            <rFont val="Arial"/>
            <family val="0"/>
          </rPr>
          <t xml:space="preserve">Olli Leino
stat.fi
May-2008 </t>
        </r>
      </text>
    </comment>
    <comment ref="J10" authorId="0">
      <text>
        <r>
          <rPr>
            <sz val="10"/>
            <rFont val="Arial"/>
            <family val="0"/>
          </rPr>
          <t xml:space="preserve">Juha Pekkanen:
backgound PM concentration from natural sources
Rannikkoalueella isoimmat pitoisuudet (Tainio)
</t>
        </r>
      </text>
    </comment>
    <comment ref="P10"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0" authorId="0">
      <text>
        <r>
          <rPr>
            <sz val="10"/>
            <rFont val="Arial"/>
            <family val="0"/>
          </rPr>
          <t xml:space="preserve">Oli Leino:
Lung cancer incidence in Finland: 
http://www.cancerregistry.fi/stats/fin/vfin0021i0.html
http://www.cancerregistry.fi/stats/fin/vfin0020i0.html
</t>
        </r>
      </text>
    </comment>
    <comment ref="S11" authorId="0">
      <text>
        <r>
          <rPr>
            <sz val="10"/>
            <rFont val="Arial"/>
            <family val="0"/>
          </rPr>
          <t xml:space="preserve">Oli Leino:
Lung cancer incidence (2.5% percentile) in Finland: 
http://www.cancerregistry.fi/stats/fin/vfin0021i0.html
http://www.cancerregistry.fi/stats/fin/vfin0020i0.html
</t>
        </r>
      </text>
    </comment>
    <comment ref="S12" authorId="0">
      <text>
        <r>
          <rPr>
            <sz val="10"/>
            <rFont val="Arial"/>
            <family val="0"/>
          </rPr>
          <t xml:space="preserve">Oli Leino:
Lung cancer incidence (97.5% percentile) in Finland: 
http://www.cancerregistry.fi/stats/fin/vfin0021i0.html
http://www.cancerregistry.fi/stats/fin/vfin0020i0.html
</t>
        </r>
      </text>
    </comment>
    <comment ref="P13"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3" authorId="0">
      <text>
        <r>
          <rPr>
            <sz val="10"/>
            <rFont val="Arial"/>
            <family val="0"/>
          </rPr>
          <t>Olli Leino:
WHO mortality data, mistä incidencet???
ICD 10 (I11-I70, J15-J47 and C34)
Ei ole valmis siis vielä
Another very crude estimate:
http://www.who.int/healthinfo/bodgbd2002revised/en/index.html
Reference materials for cell R13-17:
http://www.sciencedirect.com/science?_ob=ArticleURL&amp;_udi=B6V78-3TC0V32-F&amp;_user=953170&amp;_rdoc=1&amp;_fmt=&amp;_orig=search&amp;_sort=d&amp;view=c&amp;_acct=C000049246&amp;_version=1&amp;_urlVersion=0&amp;_userid=953170&amp;md5=31edf20d58efeddc11789e0358e6f09c
http://www.who.int/healthinfo/bodgbd2002revised/en/index.html</t>
        </r>
      </text>
    </comment>
    <comment ref="C16" authorId="0">
      <text>
        <r>
          <rPr>
            <sz val="10"/>
            <rFont val="Arial"/>
            <family val="0"/>
          </rPr>
          <t>Olli Leino:
Cancer Risk:
    * Human studies, primarily of workers occupationally exposed to 2,3,7,8-TCDD by inhalation, have found an association between 2,3,7,8-TCDD and lung cancer, soft-tissue sarcomas, lymphomas, and stomach carcinomas, although for malignant lymphomas, the increase in risk is not consistent. (1)
    * No information is available on the carcinogenic effects of 2,3,7,8-TCDD in animals following inhalation exposure. (1)
    * Animal studies have reported tumors of the liver, lung, tongue, thyroid, and nasal turbinates from oral exposure to 2,3,7,8-TCDD. (1)
    * EPA has classified 2,3,7,8-TCDD as a Group B2; probable human carcinogen. (2,3)
    * EPA has calculated an inhalation cancer slope factor of 1.5x10^5 (mg/kg/d)-1 and an inhalation unit risk estimate of 3.3 x 10-5 (pg/m3)-1 for 2,3,7,8-TCDD. (2,3)
    * EPA has calculated an oral cancer slope factor of 1.5 x 10^5 (mg/kg/d)-1 and an oral unit risk factor of 4.5 (µg/L)-1 for 2,3,7,8-TCDD. (2,3)
 References
   1. Agency for Toxic Substances and Disease Registry (ATSDR). Toxicological Profile for Chlorinated Dibenzo-p-Dioxins. Public Health Service, U.S. Department of Health and Human Services, Atlanta, GA. 1998.
   2. U.S. Environmental Protection Agency. Health Effects Assessment Summary Tables. FY 1997 Update. Environmental Criteria and Assessment Office, Office of Health and Environmental Assessment, Office of Research and Development, Cincinnati, OH. 1997.
   3. U.S. Environmental Protection Agency. Health Assessment Document for Polychlorinated Dibenzo-p-Dioxin. Environmental Criteria and Assessment Office, Office of Health and Environmental Assessment, Office of Research and Development, Cincinnati, OH. EPA 600/8-84-014F. 1985.
http://www.epa.gov/ttn/atw/hlthef/dioxin.html</t>
        </r>
      </text>
    </comment>
    <comment ref="H16" authorId="0">
      <text>
        <r>
          <rPr>
            <sz val="10"/>
            <rFont val="Arial"/>
            <family val="0"/>
          </rPr>
          <t>Olli Leino
95% of Finnish population eat fish
Ahvonen ja Honkanen 2003</t>
        </r>
      </text>
    </comment>
    <comment ref="I16" authorId="0">
      <text>
        <r>
          <rPr>
            <sz val="10"/>
            <rFont val="Arial"/>
            <family val="0"/>
          </rPr>
          <t xml:space="preserve">Olli Leino
Leino et al.2008 dxvsn-3 model  (dioxin exposure of general population due to domestic fish consumption) PCDD/F+dlPCB (WHO-Teq) in pg/kg/d (bodyweight =70 kg)
82% dioksiineista kalasta. =&gt; Kokonaisaltisusarvio = 1/0.82 * kala-altistus
http://www.ktl.fi/portal/suomi/tietoa_terveydesta/elinymparisto/ymparistomyrkyt/dioksiinit/
Exposure due to  imported fish consumption is approximately the same with exposure due to domestic fish consumption =&gt; factor = 2 (probably an overestimation)
Unit: pg TEQ/kg bw /d
---
Suomessa dioksiinien ja furaanien keskimääräiseksi päivittäiseksi saantiarvoksi kotimaisista lähteistä aikuiselle on laskettu 46 pg I-TEQ/d ja vastaavasti dioksiinien kaltaisten PCB -aineiden saanniksi 53 pg I-TEQ/d eli yhteensä noin 100 pg/d, mikä tekee 70 kg painoisella henkilöllä noin 1,4 pg TEQ/kg /d. Se on WHO:n asettaman siedettävän saannin vaihtelualueen (1 –4 pg/kg/d) sisällä. Suurin saanti, yli 80 %, syntyy kalaravinnosta, josta Itämeren silakka on merkityksellisin (taulukko 3, Kiviranta ym. 2001).
http://www.ymparisto.fi/download.asp?contentid=33538&amp;lan=sv
</t>
        </r>
      </text>
    </comment>
    <comment ref="J16" authorId="0">
      <text>
        <r>
          <rPr>
            <sz val="10"/>
            <rFont val="Arial"/>
            <family val="0"/>
          </rPr>
          <t>Olli Leino:
Assumed E-R linearity down to zero.=&gt; background = 0</t>
        </r>
      </text>
    </comment>
    <comment ref="L16" authorId="0">
      <text>
        <r>
          <rPr>
            <sz val="10"/>
            <rFont val="Arial"/>
            <family val="0"/>
          </rPr>
          <t>Olli Leino:
Fatty fish PCDD/F Teq * csf * unit conversion  
,where
Fatty fish PCDD/F Teq is toxicity (in Teq's) of dioxin congeners found typically in fatty fish, such as salmon
csf is cancer slope factor [mg/kg/day]^-1 for TCDD (Teq=1)
unit conversion is conversion from mg -&gt; pg
See also cell C19 for csf.
http://www.pacelabs.com/services/analytical-services/specialty-analytical-services/dioxins-furans/TEF.pdf</t>
        </r>
      </text>
    </comment>
    <comment ref="S16" authorId="0">
      <text>
        <r>
          <rPr>
            <sz val="10"/>
            <rFont val="Arial"/>
            <family val="0"/>
          </rPr>
          <t>Oli Leino:
Total cancer incidence in Finland: ICD-10 C00-D48 (2002) = 10523
www.cancerregistry.fi</t>
        </r>
      </text>
    </comment>
    <comment ref="I17" authorId="0">
      <text>
        <r>
          <rPr>
            <sz val="10"/>
            <rFont val="Arial"/>
            <family val="0"/>
          </rPr>
          <t xml:space="preserve">Olli Leino:
As above in cell H19, but with 5% fractiles instead of mean.
</t>
        </r>
      </text>
    </comment>
    <comment ref="L17" authorId="0">
      <text>
        <r>
          <rPr>
            <sz val="10"/>
            <rFont val="Arial"/>
            <family val="0"/>
          </rPr>
          <t xml:space="preserve">Olli Leino:
Best guess * fat content ratio of perch/salmon
This describes a low fat versus high fat fish diet. Dioxins are accumulated into fat tissue, thus salmon (a typical fatty fish) eaters consume more dioxins than perch (a typical lean fish) eaters.:
</t>
        </r>
      </text>
    </comment>
    <comment ref="I18" authorId="0">
      <text>
        <r>
          <rPr>
            <sz val="10"/>
            <rFont val="Arial"/>
            <family val="0"/>
          </rPr>
          <t>Olli Leino:
As above in cell H19, but 95% fractile instead of mean.</t>
        </r>
      </text>
    </comment>
    <comment ref="L18" authorId="0">
      <text>
        <r>
          <rPr>
            <sz val="10"/>
            <rFont val="Arial"/>
            <family val="0"/>
          </rPr>
          <t>Olli Leino:
Csf * unit conversion
,where csf is cancer slope factor for TCDD [mg/kg/day]^-1
unit conversion is conversion from mg -&gt; pg</t>
        </r>
      </text>
    </comment>
    <comment ref="I19" authorId="0">
      <text>
        <r>
          <rPr>
            <sz val="10"/>
            <rFont val="Arial"/>
            <family val="0"/>
          </rPr>
          <t xml:space="preserve">Olli Leino:
Assumption: exposure approximately the same as with the general population. This is probably an overestimation.
</t>
        </r>
      </text>
    </comment>
    <comment ref="P19" authorId="0">
      <text>
        <r>
          <rPr>
            <sz val="10"/>
            <rFont val="Arial"/>
            <family val="0"/>
          </rPr>
          <t>Olli Leino:
Alaluusua et al</t>
        </r>
      </text>
    </comment>
    <comment ref="H20" authorId="0">
      <text>
        <r>
          <rPr>
            <sz val="10"/>
            <rFont val="Arial"/>
            <family val="0"/>
          </rPr>
          <t>Olli Leino
Yearly amount of children born*0.95
,where
0.95 is the ratio of Finns who eat fish
http://stat.fi/til/synt/2007/synt_2007_2008-05-02_tie_001_fi.html
http://stat.fi/til/kuol/2007/index.html
95% Finns eat fish. Ahvonen &amp; Honkanen 2003</t>
        </r>
      </text>
    </comment>
    <comment ref="I20" authorId="0">
      <text>
        <r>
          <rPr>
            <sz val="10"/>
            <rFont val="Arial"/>
            <family val="0"/>
          </rPr>
          <t>Olli Leino
Fish exposure * ( total exp/fish exp)
,where 
Fish exposure = =3.9E-5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t>
        </r>
      </text>
    </comment>
    <comment ref="J20" authorId="0">
      <text>
        <r>
          <rPr>
            <sz val="10"/>
            <rFont val="Arial"/>
            <family val="0"/>
          </rPr>
          <t>Olli Leino
Assumption: Background exposure = 0 
Is this assumption correct and what is the backgraound exposure in Finland?</t>
        </r>
      </text>
    </comment>
    <comment ref="K20" authorId="0">
      <text>
        <r>
          <rPr>
            <sz val="10"/>
            <rFont val="Arial"/>
            <family val="0"/>
          </rPr>
          <t>Olli Leino
Assumption: The critical time period is prenatal time and time when lactating. Calculations done for each newborn child</t>
        </r>
      </text>
    </comment>
    <comment ref="P20" authorId="0">
      <text>
        <r>
          <rPr>
            <sz val="10"/>
            <rFont val="Arial"/>
            <family val="0"/>
          </rPr>
          <t>(Jaa tuhannella)... tee selväksi mitä yksikköä kohden mikäkin laskentasolu tekee ja mitä.
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Cohen&amp;Axelrad combined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kg)
combined E-R=combination of Cohen (2003) and Axelrad (2000) exposure-responses for IQ points per mg/kg increase in MeHg in hair (=0,2329 IQ pts/(mg/kg inc in hair))</t>
        </r>
      </text>
    </comment>
    <comment ref="T20" authorId="0">
      <text>
        <r>
          <rPr>
            <sz val="10"/>
            <rFont val="Arial"/>
            <family val="0"/>
          </rPr>
          <t>Olli Leino:
Unit = [IQ point loss] per children born* number of newborns</t>
        </r>
      </text>
    </comment>
    <comment ref="I21" authorId="0">
      <text>
        <r>
          <rPr>
            <sz val="10"/>
            <rFont val="Arial"/>
            <family val="0"/>
          </rPr>
          <t xml:space="preserve">Olli Leino
Fish exposure * ( total exp/fish exp)
,where 
Fish exposure = =1.9E-5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1"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Axelrad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Axelrad (2000) exposure-response for IQ points per mg/kg increase in MeHg in hair (=0,1988 IQ pts/(mg/kg inc in hair))
</t>
        </r>
      </text>
    </comment>
    <comment ref="T21" authorId="0">
      <text>
        <r>
          <rPr>
            <sz val="10"/>
            <rFont val="Arial"/>
            <family val="0"/>
          </rPr>
          <t>Olli Leino:
Unit = [IQ point loss] per children born* number of newborns</t>
        </r>
      </text>
    </comment>
    <comment ref="I22" authorId="0">
      <text>
        <r>
          <rPr>
            <sz val="10"/>
            <rFont val="Arial"/>
            <family val="0"/>
          </rPr>
          <t xml:space="preserve">Olli Leino
Fish exposure * ( total exp/fish exp)
,where 
Fish exposure = = 7.3E-5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2"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 Cohen (2003)  exposure-response for IQ points per mg/kg increase in MeHg in hair (=0,7333 IQ pts/(mg/kg inc in hair))
</t>
        </r>
      </text>
    </comment>
    <comment ref="T22" authorId="0">
      <text>
        <r>
          <rPr>
            <sz val="10"/>
            <rFont val="Arial"/>
            <family val="0"/>
          </rPr>
          <t>Olli Leino:
Unit = [IQ point loss] per children born* number of newborns</t>
        </r>
      </text>
    </comment>
    <comment ref="C23" authorId="0">
      <text>
        <r>
          <rPr>
            <sz val="10"/>
            <rFont val="Arial"/>
            <family val="0"/>
          </rPr>
          <t>Olli Leino:
Require additional research and/or analysis.
WHO states:"...there is some evidence that
methylmercury exposure affects the adult cardiovascular system. However, the data for these effects are insufficient for a quantitative analysis."
http://whqlibdoc.who.int/publications/2008/9789241596572_eng.pdf</t>
        </r>
      </text>
    </comment>
    <comment ref="H23" authorId="0">
      <text>
        <r>
          <rPr>
            <sz val="10"/>
            <rFont val="Arial"/>
            <family val="0"/>
          </rPr>
          <t>Olli Leino:
Fish eating population</t>
        </r>
      </text>
    </comment>
    <comment ref="P23" authorId="0">
      <text>
        <r>
          <rPr>
            <sz val="10"/>
            <rFont val="Arial"/>
            <family val="0"/>
          </rPr>
          <t xml:space="preserve">Olli Leino:
Salonen et al. (1995) reported effects in adults from a study of 1,833 Finnish men. Over the 7-year observation period, men with hair mercury in the highest tertile (2 ppm or higher) had a 2.0 times greater risk of acute myocardial infarction than the rest of the study population.
</t>
        </r>
      </text>
    </comment>
    <comment ref="C24" authorId="0">
      <text>
        <r>
          <rPr>
            <sz val="10"/>
            <rFont val="Arial"/>
            <family val="0"/>
          </rPr>
          <t>Olli Leino:
these effects cannot be quantified based on  data available.
http://www.epa.gov/NCEA/iris/subst/0073.htm</t>
        </r>
      </text>
    </comment>
    <comment ref="E24" authorId="0">
      <text>
        <r>
          <rPr>
            <sz val="10"/>
            <rFont val="Arial"/>
            <family val="0"/>
          </rPr>
          <t>Olli Leino:
Some data suggest that no threshold
exists for adverse neuropsychologic effects
from methylmercury exposure (Rice 2004).</t>
        </r>
      </text>
    </comment>
    <comment ref="H24" authorId="0">
      <text>
        <r>
          <rPr>
            <sz val="10"/>
            <rFont val="Arial"/>
            <family val="0"/>
          </rPr>
          <t>Olli Leino:
Fish eating pregnant women</t>
        </r>
      </text>
    </comment>
    <comment ref="I25" authorId="0">
      <text>
        <r>
          <rPr>
            <sz val="10"/>
            <rFont val="Arial"/>
            <family val="0"/>
          </rPr>
          <t xml:space="preserve">pmea:
Change to current exposure!
Suomen keskiarvo trihalometaaneille (µg/l) vuodelle 2003 (suuret vesilaitokset):
mean     8.3125
median     3
sd     13.599527 
http://heande.pyrkilo.fi/heande/images/3/3e/Finland_Nitrate_2003.pdf 
- - -
net rev/L
The past drinking water mutagenicity was assessed for both years on the basis of an equation giving the estimated drinking wtaer mutagenicity level in net revertants per liter (net rev/L).
 Koivusalo et al. 1994. American Journal of Public Health 84(8):1223-1228.
</t>
        </r>
      </text>
    </comment>
    <comment ref="J25" authorId="0">
      <text>
        <r>
          <rPr>
            <sz val="10"/>
            <rFont val="Arial"/>
            <family val="0"/>
          </rPr>
          <t>Juha Pekkanen:
no natural background? Linear E-R to zero?</t>
        </r>
      </text>
    </comment>
    <comment ref="N25" authorId="0">
      <text>
        <r>
          <rPr>
            <sz val="10"/>
            <rFont val="Arial"/>
            <family val="0"/>
          </rPr>
          <t>pmea:
Cases in 19 years (1977-1986)</t>
        </r>
      </text>
    </comment>
    <comment ref="P25" authorId="0">
      <text>
        <r>
          <rPr>
            <sz val="10"/>
            <rFont val="Arial"/>
            <family val="0"/>
          </rPr>
          <t>Juha Pekkanen:
mitä yksikköä kohti???</t>
        </r>
      </text>
    </comment>
    <comment ref="V25" authorId="0">
      <text>
        <r>
          <rPr>
            <sz val="10"/>
            <rFont val="Arial"/>
            <family val="0"/>
          </rPr>
          <t>pmea:
Year 2005
http://www.cancerregistry.fi/tilastot/image_21.pdf</t>
        </r>
      </text>
    </comment>
    <comment ref="W25" authorId="0">
      <text>
        <r>
          <rPr>
            <sz val="10"/>
            <rFont val="Arial"/>
            <family val="0"/>
          </rPr>
          <t>Olli Leino:
Bladder ancer incidence 2005:
207 female
614 male
http://www.cancerregistry.fi/tilastot/image_21.pdf
Table 16.</t>
        </r>
      </text>
    </comment>
    <comment ref="X25" authorId="0">
      <text>
        <r>
          <rPr>
            <sz val="10"/>
            <rFont val="Arial"/>
            <family val="0"/>
          </rPr>
          <t>Olli Leino:
Bladder cancer mortality 2005
Men: 172
Female: 159
http://www.cancerregistry.fi/tilastot/image_21.pdf
Table 28.
Table 24 &amp; 25</t>
        </r>
      </text>
    </comment>
    <comment ref="G26" authorId="0">
      <text>
        <r>
          <rPr>
            <sz val="10"/>
            <rFont val="Arial"/>
            <family val="0"/>
          </rPr>
          <t>pmea:
lower 5 % confidence limit 
 Koivusalo et al. 1994. American Journal of Public Health 84(8):1223-1228.</t>
        </r>
      </text>
    </comment>
    <comment ref="I26" authorId="0">
      <text>
        <r>
          <rPr>
            <sz val="10"/>
            <rFont val="Arial"/>
            <family val="0"/>
          </rPr>
          <t xml:space="preserve">Olli Leino:
2.5% percentile of normal distribution
</t>
        </r>
      </text>
    </comment>
    <comment ref="G27" authorId="0">
      <text>
        <r>
          <rPr>
            <sz val="10"/>
            <rFont val="Arial"/>
            <family val="0"/>
          </rPr>
          <t>pmea:
Higher 95 % confidence limit 
 Koivusalo et al. 1994. American Journal of Public Health 84(8):1223-1228.</t>
        </r>
      </text>
    </comment>
    <comment ref="I27" authorId="0">
      <text>
        <r>
          <rPr>
            <sz val="10"/>
            <rFont val="Arial"/>
            <family val="0"/>
          </rPr>
          <t xml:space="preserve">Olli Leino:
97.5% percentile of normal distribution
</t>
        </r>
      </text>
    </comment>
    <comment ref="N28" authorId="0">
      <text>
        <r>
          <rPr>
            <sz val="10"/>
            <rFont val="Arial"/>
            <family val="0"/>
          </rPr>
          <t>pmea:
Cases in 19 years (1977-1986)</t>
        </r>
      </text>
    </comment>
    <comment ref="R28" authorId="0">
      <text>
        <r>
          <rPr>
            <sz val="10"/>
            <rFont val="Arial"/>
            <family val="0"/>
          </rPr>
          <t>Juha Pekkanen:
tosi iso!?</t>
        </r>
      </text>
    </comment>
    <comment ref="V28" authorId="0">
      <text>
        <r>
          <rPr>
            <sz val="10"/>
            <rFont val="Arial"/>
            <family val="0"/>
          </rPr>
          <t>pmea:
Year 2006
http://www.cancerregistry.fi/stats/fin/vfin0020i0.html</t>
        </r>
      </text>
    </comment>
    <comment ref="W28" authorId="0">
      <text>
        <r>
          <rPr>
            <sz val="10"/>
            <rFont val="Arial"/>
            <family val="0"/>
          </rPr>
          <t>Olli Leino:
Kidney cancer incidence 2005
424 male
340 female
http://www.cancerregistry.fi/tilastot/image_21.pdf
Table 28.
Table 24 &amp; 25</t>
        </r>
      </text>
    </comment>
    <comment ref="X28" authorId="0">
      <text>
        <r>
          <rPr>
            <sz val="10"/>
            <rFont val="Arial"/>
            <family val="0"/>
          </rPr>
          <t>Olli Leino:
Kidney cancer mortality 2005
Men: 184
Female: 75
http://www.cancerregistry.fi/tilastot/image_21.pdf
Table 28.
Table 24 &amp; 25</t>
        </r>
      </text>
    </comment>
    <comment ref="G29" authorId="0">
      <text>
        <r>
          <rPr>
            <sz val="10"/>
            <rFont val="Arial"/>
            <family val="0"/>
          </rPr>
          <t>pmea:
lower 5 % confidence limit 
 Koivusalo et al. 1994. American Journal of Public Health 84(8):1223-1228.</t>
        </r>
      </text>
    </comment>
    <comment ref="S29" authorId="0">
      <text>
        <r>
          <rPr>
            <sz val="10"/>
            <rFont val="Arial"/>
            <family val="0"/>
          </rPr>
          <t xml:space="preserve">Olli Leino:
Using same estimate as for best guess… Is it ok?
</t>
        </r>
      </text>
    </comment>
    <comment ref="G30" authorId="0">
      <text>
        <r>
          <rPr>
            <sz val="10"/>
            <rFont val="Arial"/>
            <family val="0"/>
          </rPr>
          <t>pmea:
Higher 95 % confidence limit 
 Koivusalo et al. 1994. American Journal of Public Health 84(8):1223-1228.</t>
        </r>
      </text>
    </comment>
    <comment ref="S30" authorId="0">
      <text>
        <r>
          <rPr>
            <sz val="10"/>
            <rFont val="Arial"/>
            <family val="0"/>
          </rPr>
          <t xml:space="preserve">Olli Leino:
Using same estimate as for best guess… Is it ok?
</t>
        </r>
      </text>
    </comment>
    <comment ref="B31" authorId="0">
      <text>
        <r>
          <rPr>
            <sz val="10"/>
            <rFont val="Arial"/>
            <family val="0"/>
          </rPr>
          <t>ekue:
The data used for the estimate probably employs a mixture of LAeq and Lden levels. This results in an underestimate of the exposure figures.</t>
        </r>
      </text>
    </comment>
    <comment ref="D31" authorId="0">
      <text>
        <r>
          <rPr>
            <sz val="10"/>
            <rFont val="Arial"/>
            <family val="0"/>
          </rPr>
          <t>ekue:
The "55 dB" cut-off is arbitrary. The monetary value increases very steeply if the cut-off value is decreased!!</t>
        </r>
      </text>
    </comment>
    <comment ref="H31" authorId="0">
      <text>
        <r>
          <rPr>
            <sz val="10"/>
            <rFont val="Arial"/>
            <family val="0"/>
          </rPr>
          <t>ekue:
Based on exposure data in Table 4.9 of "Meluntorjunnan valtakunnallisten linjausten hyödyt ja kustannukset", 2006 (SY821), containing all major sources of outdoor noise. NOTE: the scale used is probably a mixture of LAeq and Lden. If only Lden would have been used, the figure would be even higher.</t>
        </r>
      </text>
    </comment>
    <comment ref="B32" authorId="0">
      <text>
        <r>
          <rPr>
            <sz val="10"/>
            <rFont val="Arial"/>
            <family val="0"/>
          </rPr>
          <t>ekue:
The data used for the estimate probably employs a mixture of LAeq and Lden levels. This will underestimate the annoyance figures obtained from Lden-based ERFs.</t>
        </r>
      </text>
    </comment>
    <comment ref="D32" authorId="0">
      <text>
        <r>
          <rPr>
            <sz val="10"/>
            <rFont val="Arial"/>
            <family val="0"/>
          </rPr>
          <t>ekue:
Miedema, H. M. E. and C. G. M. Oudshoorn (2001). "Annoyance from transportation noise: Relationships with exposure metrics DNL and DENL and their confidence intervals." Environmental Health Perspectives 109(4): 409-416.</t>
        </r>
      </text>
    </comment>
    <comment ref="D33" authorId="0">
      <text>
        <r>
          <rPr>
            <sz val="10"/>
            <rFont val="Arial"/>
            <family val="0"/>
          </rPr>
          <t>ekue:
Miedema et al, Behav Sleep Med. 2007;5(1):1-20.</t>
        </r>
      </text>
    </comment>
    <comment ref="D39" authorId="0">
      <text>
        <r>
          <rPr>
            <sz val="10"/>
            <rFont val="Arial"/>
            <family val="0"/>
          </rPr>
          <t>ekue:
The "55 dB" cut-off is arbitrary. The monetary value increases very steeply if the cut-off value is decreased!!</t>
        </r>
      </text>
    </comment>
    <comment ref="G40" authorId="0">
      <text>
        <r>
          <rPr>
            <sz val="10"/>
            <rFont val="Arial"/>
            <family val="0"/>
          </rPr>
          <t>ekue:
The estimates shown use 55 dB as the cut-off. This level is already perceived as "very disturbing" by some (WHO guidelines). So this is really a minimum estimate. Also excluded are many other than the perceived (WTP) costs, e.g. noise barrier and health-care costs.</t>
        </r>
      </text>
    </comment>
    <comment ref="I40" authorId="0">
      <text>
        <r>
          <rPr>
            <sz val="10"/>
            <rFont val="Arial"/>
            <family val="0"/>
          </rPr>
          <t>ekue:
Calculation based on exposure data in Table 4.9 of "Meluntorjunnan valtakunnallisten linjausten hyödyt ja kustannukset", 2006 (SY821), containing all major sources of outdoor noise. NOTE: the scale used is probably a mixture of LAeq and Lden. If only Lden would have been used, the figure would be higher.</t>
        </r>
      </text>
    </comment>
    <comment ref="H41" authorId="0">
      <text>
        <r>
          <rPr>
            <sz val="10"/>
            <rFont val="Arial"/>
            <family val="0"/>
          </rPr>
          <t xml:space="preserve">ekue:
Households in Finland, based on the ave. household size of 2.1 (Tilastokeskus, 25 Aug 2008)
</t>
        </r>
      </text>
    </comment>
    <comment ref="I41" authorId="0">
      <text>
        <r>
          <rPr>
            <sz val="10"/>
            <rFont val="Arial"/>
            <family val="0"/>
          </rPr>
          <t>ekue:
Extrapolated from Helsinki road traffic noise exposure to the whole population of Finland.</t>
        </r>
      </text>
    </comment>
    <comment ref="E55" authorId="0">
      <text>
        <r>
          <rPr>
            <sz val="10"/>
            <rFont val="Arial"/>
            <family val="0"/>
          </rPr>
          <t xml:space="preserve">Olli Leino
Probably overlaps with other accident types
</t>
        </r>
      </text>
    </comment>
    <comment ref="V55" authorId="0">
      <text>
        <r>
          <rPr>
            <sz val="10"/>
            <rFont val="Arial"/>
            <family val="0"/>
          </rPr>
          <t>Olli Leino: 
2002 ICD-10
V02-V04, V09, V12-V14, V19-V79, V86-V89 
and
V01, V05-V06, V10, V11, V15-V18, V80-V85, V90-V99 
http://www.who.int/whosis/database/mort/table1_process.cfm</t>
        </r>
      </text>
    </comment>
    <comment ref="E58" authorId="0">
      <text>
        <r>
          <rPr>
            <sz val="10"/>
            <rFont val="Arial"/>
            <family val="0"/>
          </rPr>
          <t>Olli Leino
Probably overlaps with other accident types</t>
        </r>
      </text>
    </comment>
    <comment ref="V58" authorId="0">
      <text>
        <r>
          <rPr>
            <sz val="10"/>
            <rFont val="Arial"/>
            <family val="0"/>
          </rPr>
          <t xml:space="preserve">Olli Leino
http://ec.europa.eu/employment_social/news/2002/apr/1130_fi.pdf
</t>
        </r>
      </text>
    </comment>
    <comment ref="E61" authorId="0">
      <text>
        <r>
          <rPr>
            <sz val="10"/>
            <rFont val="Arial"/>
            <family val="0"/>
          </rPr>
          <t xml:space="preserve">Olli Leino
Probably overlaps with other accident types
</t>
        </r>
      </text>
    </comment>
    <comment ref="V61" authorId="0">
      <text>
        <r>
          <rPr>
            <sz val="10"/>
            <rFont val="Arial"/>
            <family val="0"/>
          </rPr>
          <t xml:space="preserve">Olli Leino: 2002
ICD-10:
X40-X49
W00-W19 
X00-X09
W65-W74 
W24-W31
W32-W34 
W20-W23, W35-W64, W75-W99, X10-X39, X50-X59, Y85, Y86 
http://www.who.int/whosis/database/mort/table1_process.cfm
</t>
        </r>
      </text>
    </comment>
    <comment ref="A65" authorId="1">
      <text>
        <r>
          <rPr>
            <b/>
            <sz val="8"/>
            <rFont val="Tahoma"/>
            <family val="0"/>
          </rPr>
          <t>pku:</t>
        </r>
        <r>
          <rPr>
            <sz val="8"/>
            <rFont val="Tahoma"/>
            <family val="0"/>
          </rPr>
          <t xml:space="preserve">
Melanoomassa ei ole annosvastekäyrää vaan sen syntymisen riski riippuu ihon palamisesta (ts käyttäytymisestä). BCC:n ja varsinkin SCC:n sekä UV-säteilyn välillä korrelaatio annoksen ja synnyn välillä. 80% BCC:stä ja melanoomasta ja 90% SCC:sta voidaan arvioida olevan UV-säteilyn aiheuttamia. Solarium lisää suomalaisten UV-annosta 1%.</t>
        </r>
      </text>
    </comment>
    <comment ref="J65" authorId="1">
      <text>
        <r>
          <rPr>
            <b/>
            <sz val="8"/>
            <rFont val="Tahoma"/>
            <family val="0"/>
          </rPr>
          <t>pku:</t>
        </r>
        <r>
          <rPr>
            <sz val="8"/>
            <rFont val="Tahoma"/>
            <family val="0"/>
          </rPr>
          <t xml:space="preserve">
average exposure of a indoor worker</t>
        </r>
      </text>
    </comment>
    <comment ref="S65" authorId="1">
      <text>
        <r>
          <rPr>
            <b/>
            <sz val="8"/>
            <rFont val="Tahoma"/>
            <family val="0"/>
          </rPr>
          <t>pku:</t>
        </r>
        <r>
          <rPr>
            <sz val="8"/>
            <rFont val="Tahoma"/>
            <family val="0"/>
          </rPr>
          <t xml:space="preserve">
2006 FRC</t>
        </r>
      </text>
    </comment>
    <comment ref="T65" authorId="1">
      <text>
        <r>
          <rPr>
            <b/>
            <sz val="8"/>
            <rFont val="Tahoma"/>
            <family val="0"/>
          </rPr>
          <t>pku:</t>
        </r>
        <r>
          <rPr>
            <sz val="8"/>
            <rFont val="Tahoma"/>
            <family val="0"/>
          </rPr>
          <t xml:space="preserve">
Leffel 2000: The scientific basis of skin cancer</t>
        </r>
      </text>
    </comment>
    <comment ref="G66" authorId="0">
      <text>
        <r>
          <rPr>
            <sz val="10"/>
            <rFont val="Arial"/>
            <family val="0"/>
          </rPr>
          <t>eeero priha:
lower 2.5% confidence limit of average exposure and  dose-response and N of exposed</t>
        </r>
      </text>
    </comment>
    <comment ref="S66" authorId="1">
      <text>
        <r>
          <rPr>
            <b/>
            <sz val="8"/>
            <rFont val="Tahoma"/>
            <family val="0"/>
          </rPr>
          <t>pku:</t>
        </r>
        <r>
          <rPr>
            <sz val="8"/>
            <rFont val="Tahoma"/>
            <family val="0"/>
          </rPr>
          <t xml:space="preserve">
2006 FRC</t>
        </r>
      </text>
    </comment>
    <comment ref="G67" authorId="0">
      <text>
        <r>
          <rPr>
            <sz val="10"/>
            <rFont val="Arial"/>
            <family val="0"/>
          </rPr>
          <t>eeero priha:
upper 97.5% confidence limit of average exposure and  dose-response and N of exposed</t>
        </r>
      </text>
    </comment>
    <comment ref="S67" authorId="1">
      <text>
        <r>
          <rPr>
            <b/>
            <sz val="8"/>
            <rFont val="Tahoma"/>
            <family val="0"/>
          </rPr>
          <t>pku:</t>
        </r>
        <r>
          <rPr>
            <sz val="8"/>
            <rFont val="Tahoma"/>
            <family val="0"/>
          </rPr>
          <t xml:space="preserve">
2006 FRC</t>
        </r>
      </text>
    </comment>
    <comment ref="H68" authorId="1">
      <text>
        <r>
          <rPr>
            <b/>
            <sz val="8"/>
            <rFont val="Tahoma"/>
            <family val="0"/>
          </rPr>
          <t>pku:</t>
        </r>
        <r>
          <rPr>
            <sz val="8"/>
            <rFont val="Tahoma"/>
            <family val="0"/>
          </rPr>
          <t xml:space="preserve">
Jalarvo 2000, STUK-A181 1997 survey</t>
        </r>
      </text>
    </comment>
    <comment ref="J68" authorId="1">
      <text>
        <r>
          <rPr>
            <b/>
            <sz val="8"/>
            <rFont val="Tahoma"/>
            <family val="0"/>
          </rPr>
          <t>pku:</t>
        </r>
        <r>
          <rPr>
            <sz val="8"/>
            <rFont val="Tahoma"/>
            <family val="0"/>
          </rPr>
          <t xml:space="preserve">
average exposure of a indoor worker</t>
        </r>
      </text>
    </comment>
    <comment ref="S68" authorId="1">
      <text>
        <r>
          <rPr>
            <b/>
            <sz val="8"/>
            <rFont val="Tahoma"/>
            <family val="0"/>
          </rPr>
          <t>pku:</t>
        </r>
        <r>
          <rPr>
            <sz val="8"/>
            <rFont val="Tahoma"/>
            <family val="0"/>
          </rPr>
          <t xml:space="preserve">
2006 FRC</t>
        </r>
      </text>
    </comment>
    <comment ref="T68" authorId="1">
      <text>
        <r>
          <rPr>
            <b/>
            <sz val="8"/>
            <rFont val="Tahoma"/>
            <family val="0"/>
          </rPr>
          <t>pku:</t>
        </r>
        <r>
          <rPr>
            <sz val="8"/>
            <rFont val="Tahoma"/>
            <family val="0"/>
          </rPr>
          <t xml:space="preserve">
Solarium lisää suomalaisten UV-annosta 1%.
Seuraavat laskut pätevät vain solariumkäyttäjien keskuudessa, ei koko väestötasolla
Solariumin aiheuttama lisä 2,6/ keskimääräisellä annoksella % 13
Solariumin aiheuttama lisä 3,8/ keskimääräisellä annoksella % 19
Solariumin aiheuttama lisä 2,6/ sisätyöntekijän annoksella % 32,5
Solariumin aiheuttama lisä 3,8/ sisätyöntekijän annoksella % 47,5
</t>
        </r>
      </text>
    </comment>
    <comment ref="G69" authorId="0">
      <text>
        <r>
          <rPr>
            <sz val="10"/>
            <rFont val="Arial"/>
            <family val="0"/>
          </rPr>
          <t>eeero priha:
lower 2.5% confidence limit of average exposure and  dose-response and N of exposed</t>
        </r>
      </text>
    </comment>
    <comment ref="G70" authorId="0">
      <text>
        <r>
          <rPr>
            <sz val="10"/>
            <rFont val="Arial"/>
            <family val="0"/>
          </rPr>
          <t>eeero priha:
upper 97.5% confidence limit of average exposure and  dose-response and N of exposed</t>
        </r>
      </text>
    </comment>
    <comment ref="I71" authorId="1">
      <text>
        <r>
          <rPr>
            <b/>
            <sz val="8"/>
            <rFont val="Tahoma"/>
            <family val="0"/>
          </rPr>
          <t>pku:</t>
        </r>
        <r>
          <rPr>
            <sz val="8"/>
            <rFont val="Tahoma"/>
            <family val="0"/>
          </rPr>
          <t xml:space="preserve">
Drozdovitch et al.2007 Whole-body effective dose for adult during 1986-2005</t>
        </r>
      </text>
    </comment>
    <comment ref="J71" authorId="1">
      <text>
        <r>
          <rPr>
            <b/>
            <sz val="8"/>
            <rFont val="Tahoma"/>
            <family val="0"/>
          </rPr>
          <t>pku:</t>
        </r>
        <r>
          <rPr>
            <sz val="8"/>
            <rFont val="Tahoma"/>
            <family val="0"/>
          </rPr>
          <t xml:space="preserve">
mean effective dose in Finland is 3,7 mSv from all sources</t>
        </r>
      </text>
    </comment>
    <comment ref="P71" authorId="1">
      <text>
        <r>
          <rPr>
            <b/>
            <sz val="8"/>
            <rFont val="Tahoma"/>
            <family val="0"/>
          </rPr>
          <t>pku:</t>
        </r>
        <r>
          <rPr>
            <sz val="8"/>
            <rFont val="Tahoma"/>
            <family val="0"/>
          </rPr>
          <t xml:space="preserve">
5% increase in lifetime cancer deaths ICRP 103</t>
        </r>
      </text>
    </comment>
    <comment ref="S71" authorId="1">
      <text>
        <r>
          <rPr>
            <b/>
            <sz val="8"/>
            <rFont val="Tahoma"/>
            <family val="0"/>
          </rPr>
          <t>pku:</t>
        </r>
        <r>
          <rPr>
            <sz val="8"/>
            <rFont val="Tahoma"/>
            <family val="0"/>
          </rPr>
          <t xml:space="preserve">
FCR 2006</t>
        </r>
      </text>
    </comment>
    <comment ref="T71" authorId="1">
      <text>
        <r>
          <rPr>
            <b/>
            <sz val="8"/>
            <rFont val="Tahoma"/>
            <family val="0"/>
          </rPr>
          <t>pku:</t>
        </r>
        <r>
          <rPr>
            <sz val="8"/>
            <rFont val="Tahoma"/>
            <family val="0"/>
          </rPr>
          <t xml:space="preserve">
cumulative exposure 1986-2005 -&gt; cancer deaths during lifetime / lifetime</t>
        </r>
      </text>
    </comment>
    <comment ref="G72" authorId="0">
      <text>
        <r>
          <rPr>
            <sz val="10"/>
            <rFont val="Arial"/>
            <family val="0"/>
          </rPr>
          <t>eeero priha:
lower 2.5% confidence limit of average exposure and  dose-response and N of exposed</t>
        </r>
      </text>
    </comment>
    <comment ref="G73" authorId="0">
      <text>
        <r>
          <rPr>
            <sz val="10"/>
            <rFont val="Arial"/>
            <family val="0"/>
          </rPr>
          <t>eeero priha:
upper 97.5% confidence limit of average exposure and  dose-response and N of exposed</t>
        </r>
      </text>
    </comment>
  </commentList>
</comments>
</file>

<file path=xl/comments2.xml><?xml version="1.0" encoding="utf-8"?>
<comments xmlns="http://schemas.openxmlformats.org/spreadsheetml/2006/main">
  <authors>
    <author>OL</author>
  </authors>
  <commentList>
    <comment ref="B10" authorId="0">
      <text>
        <r>
          <rPr>
            <sz val="10"/>
            <rFont val="Arial"/>
            <family val="0"/>
          </rPr>
          <t>Olli Leino:
http://www.pacelabs.com/services/analytical-services/specialty-analytical-services/dioxins-furans/TEF.pdf</t>
        </r>
      </text>
    </comment>
    <comment ref="T11" authorId="0">
      <text>
        <r>
          <rPr>
            <sz val="10"/>
            <rFont val="Arial"/>
            <family val="0"/>
          </rPr>
          <t>Olli Leino:
This is the toxicity of dioxins/furans via fish intake.
(assumptions)
1) typical fish with dioxins is salmon =&gt; congener profile of salmon is used for best guess estimation
2) Re-evaluated TEFs are used, suggested by the WHO 2005</t>
        </r>
      </text>
    </comment>
    <comment ref="B23" authorId="0">
      <text>
        <r>
          <rPr>
            <sz val="10"/>
            <rFont val="Arial"/>
            <family val="0"/>
          </rPr>
          <t>Olli Leino:
http://www.pacelabs.com/services/analytical-services/specialty-analytical-services/dioxins-furans/TEF.pdf</t>
        </r>
      </text>
    </comment>
  </commentList>
</comments>
</file>

<file path=xl/sharedStrings.xml><?xml version="1.0" encoding="utf-8"?>
<sst xmlns="http://schemas.openxmlformats.org/spreadsheetml/2006/main" count="429" uniqueCount="414">
  <si>
    <t>Animal bioassay based calculation</t>
  </si>
  <si>
    <t>Relative risk (epidemiology) based calculation</t>
  </si>
  <si>
    <t>Registry data</t>
  </si>
  <si>
    <t>Summary measures</t>
  </si>
  <si>
    <t>Exposure</t>
  </si>
  <si>
    <t>Unit of exposure</t>
  </si>
  <si>
    <t>Outcome</t>
  </si>
  <si>
    <t>(risk) assessment procedure</t>
  </si>
  <si>
    <t>Exposed population</t>
  </si>
  <si>
    <t>Route of exposure</t>
  </si>
  <si>
    <t>Scenario</t>
  </si>
  <si>
    <t>Number of exposed</t>
  </si>
  <si>
    <t>average exposure level among exposed</t>
  </si>
  <si>
    <t>Background/threshold exposure</t>
  </si>
  <si>
    <t>Duration (years, lifetime=70 years)</t>
  </si>
  <si>
    <t>UR (life-time excess risk per unit of exposure)</t>
  </si>
  <si>
    <t>Life time excess risk (%)</t>
  </si>
  <si>
    <t>yearly N of excess cases among exposed</t>
  </si>
  <si>
    <t>Relative risk (per unit of exposure)</t>
  </si>
  <si>
    <t>relative risk for exposure above threshold</t>
  </si>
  <si>
    <t>attributable risk for exposure above threshold (%)</t>
  </si>
  <si>
    <t>total N of cases yearly among exposed currently</t>
  </si>
  <si>
    <t>yearly N of cases attributable to exposure</t>
  </si>
  <si>
    <t>yearly N of cases</t>
  </si>
  <si>
    <t>Radon</t>
  </si>
  <si>
    <t>Bq/m3</t>
  </si>
  <si>
    <t>lung cancer incidence</t>
  </si>
  <si>
    <t>RR/epi</t>
  </si>
  <si>
    <t>all Finns</t>
  </si>
  <si>
    <t>inhal</t>
  </si>
  <si>
    <t>best guess</t>
  </si>
  <si>
    <t>NA</t>
  </si>
  <si>
    <t>NA</t>
  </si>
  <si>
    <t>NA</t>
  </si>
  <si>
    <t>minimum</t>
  </si>
  <si>
    <t>NA</t>
  </si>
  <si>
    <t>NA</t>
  </si>
  <si>
    <t>NA</t>
  </si>
  <si>
    <t>maximum</t>
  </si>
  <si>
    <t>NA</t>
  </si>
  <si>
    <t>NA</t>
  </si>
  <si>
    <t>NA</t>
  </si>
  <si>
    <t>Nickel</t>
  </si>
  <si>
    <t>µg/m3</t>
  </si>
  <si>
    <t>cancer</t>
  </si>
  <si>
    <t>UR/animal</t>
  </si>
  <si>
    <t>Occup exposed</t>
  </si>
  <si>
    <t>inhal</t>
  </si>
  <si>
    <t>best guess</t>
  </si>
  <si>
    <t>NA</t>
  </si>
  <si>
    <t>NA</t>
  </si>
  <si>
    <t>NA</t>
  </si>
  <si>
    <t>NA</t>
  </si>
  <si>
    <t>NA</t>
  </si>
  <si>
    <t>minimum</t>
  </si>
  <si>
    <t xml:space="preserve"> </t>
  </si>
  <si>
    <t xml:space="preserve"> </t>
  </si>
  <si>
    <t>maximum</t>
  </si>
  <si>
    <t>CO indoors</t>
  </si>
  <si>
    <t>poisonings</t>
  </si>
  <si>
    <t>registry data</t>
  </si>
  <si>
    <t>observed N</t>
  </si>
  <si>
    <t>PM2.5 outdoor</t>
  </si>
  <si>
    <t>lung cancer incidence</t>
  </si>
  <si>
    <t>RR/epi</t>
  </si>
  <si>
    <t>all Finns</t>
  </si>
  <si>
    <t>inhal</t>
  </si>
  <si>
    <t>best guess</t>
  </si>
  <si>
    <t>NA</t>
  </si>
  <si>
    <t>NA</t>
  </si>
  <si>
    <t>NA</t>
  </si>
  <si>
    <t>minimum</t>
  </si>
  <si>
    <t>NA</t>
  </si>
  <si>
    <t>NA</t>
  </si>
  <si>
    <t>NA</t>
  </si>
  <si>
    <t>maximum</t>
  </si>
  <si>
    <t>NA</t>
  </si>
  <si>
    <t>NA</t>
  </si>
  <si>
    <t>NA</t>
  </si>
  <si>
    <t>cardiopulmonary mortality</t>
  </si>
  <si>
    <t>RR/epi</t>
  </si>
  <si>
    <t>all Finns</t>
  </si>
  <si>
    <t>inhal</t>
  </si>
  <si>
    <t>best guess</t>
  </si>
  <si>
    <t>NA</t>
  </si>
  <si>
    <t>NA</t>
  </si>
  <si>
    <t>NA</t>
  </si>
  <si>
    <t>minimum</t>
  </si>
  <si>
    <t>NA</t>
  </si>
  <si>
    <t>NA</t>
  </si>
  <si>
    <t>NA</t>
  </si>
  <si>
    <t>maximum</t>
  </si>
  <si>
    <t>NA</t>
  </si>
  <si>
    <t>NA</t>
  </si>
  <si>
    <t>NA</t>
  </si>
  <si>
    <t>Dioxins intake</t>
  </si>
  <si>
    <t>pg/kg/d</t>
  </si>
  <si>
    <t>total cancer incidence</t>
  </si>
  <si>
    <t>UR/animal</t>
  </si>
  <si>
    <t>Fish eating population</t>
  </si>
  <si>
    <t>ingestion</t>
  </si>
  <si>
    <t>best guess</t>
  </si>
  <si>
    <t>NA</t>
  </si>
  <si>
    <t>NA</t>
  </si>
  <si>
    <t>NA</t>
  </si>
  <si>
    <t>NA</t>
  </si>
  <si>
    <t>minimum</t>
  </si>
  <si>
    <t>NA</t>
  </si>
  <si>
    <t>NA</t>
  </si>
  <si>
    <t>NA</t>
  </si>
  <si>
    <t>NA</t>
  </si>
  <si>
    <t>maximum</t>
  </si>
  <si>
    <t>NA</t>
  </si>
  <si>
    <t>NA</t>
  </si>
  <si>
    <t>NA</t>
  </si>
  <si>
    <t>NA</t>
  </si>
  <si>
    <t>developmental disorders of teeth</t>
  </si>
  <si>
    <t>RR/epi</t>
  </si>
  <si>
    <t>Children under 7 years</t>
  </si>
  <si>
    <t>ingestion</t>
  </si>
  <si>
    <t>best guess</t>
  </si>
  <si>
    <t>NA</t>
  </si>
  <si>
    <t>NA</t>
  </si>
  <si>
    <t>NA</t>
  </si>
  <si>
    <t>?</t>
  </si>
  <si>
    <t>?</t>
  </si>
  <si>
    <t>Methyl mercury intake</t>
  </si>
  <si>
    <t>mg/kg/d</t>
  </si>
  <si>
    <t>IQ decrease of children</t>
  </si>
  <si>
    <t>RR/epi</t>
  </si>
  <si>
    <t>Newborn children</t>
  </si>
  <si>
    <t>ingestion</t>
  </si>
  <si>
    <t>best guess</t>
  </si>
  <si>
    <t>NA</t>
  </si>
  <si>
    <t>NA</t>
  </si>
  <si>
    <t>NA</t>
  </si>
  <si>
    <t>NA</t>
  </si>
  <si>
    <t>NA</t>
  </si>
  <si>
    <t>NA</t>
  </si>
  <si>
    <t>minimum</t>
  </si>
  <si>
    <t>NA</t>
  </si>
  <si>
    <t>NA</t>
  </si>
  <si>
    <t>NA</t>
  </si>
  <si>
    <t>NA</t>
  </si>
  <si>
    <t>NA</t>
  </si>
  <si>
    <t>NA</t>
  </si>
  <si>
    <t>maximum</t>
  </si>
  <si>
    <t>NA</t>
  </si>
  <si>
    <t>NA</t>
  </si>
  <si>
    <t>NA</t>
  </si>
  <si>
    <t>NA</t>
  </si>
  <si>
    <t>NA</t>
  </si>
  <si>
    <t>NA</t>
  </si>
  <si>
    <t>Myocardial infarcton</t>
  </si>
  <si>
    <t>RR/epi</t>
  </si>
  <si>
    <t>General population</t>
  </si>
  <si>
    <t>ingestion</t>
  </si>
  <si>
    <t>best guess</t>
  </si>
  <si>
    <t>Persistent and delayed neurotoxicity</t>
  </si>
  <si>
    <t>RR/epi</t>
  </si>
  <si>
    <t>General population</t>
  </si>
  <si>
    <t>ingestion</t>
  </si>
  <si>
    <t>best guess</t>
  </si>
  <si>
    <t>Chlorination byproducts</t>
  </si>
  <si>
    <t>net rev/L</t>
  </si>
  <si>
    <t>bladder cancer</t>
  </si>
  <si>
    <t>RR/epi</t>
  </si>
  <si>
    <t>56 municipalities in Finland 1955-1970</t>
  </si>
  <si>
    <t>ingestion</t>
  </si>
  <si>
    <t>best guess</t>
  </si>
  <si>
    <t>NA</t>
  </si>
  <si>
    <t>NA</t>
  </si>
  <si>
    <t>minimum</t>
  </si>
  <si>
    <t>NA</t>
  </si>
  <si>
    <t>NA</t>
  </si>
  <si>
    <t>NA</t>
  </si>
  <si>
    <t>maximum</t>
  </si>
  <si>
    <t>NA</t>
  </si>
  <si>
    <t>NA</t>
  </si>
  <si>
    <t>NA</t>
  </si>
  <si>
    <t>kidney cancer</t>
  </si>
  <si>
    <t>RR/epi</t>
  </si>
  <si>
    <t>56 municipalities in Finland 1955-1970</t>
  </si>
  <si>
    <t>ingestion</t>
  </si>
  <si>
    <t>best guess</t>
  </si>
  <si>
    <t>NA</t>
  </si>
  <si>
    <t>NA</t>
  </si>
  <si>
    <t>minimum</t>
  </si>
  <si>
    <t>NA</t>
  </si>
  <si>
    <t>NA</t>
  </si>
  <si>
    <t>NA</t>
  </si>
  <si>
    <t>maximum</t>
  </si>
  <si>
    <t>NA</t>
  </si>
  <si>
    <t>NA</t>
  </si>
  <si>
    <t>NA</t>
  </si>
  <si>
    <t>Outdoor noise</t>
  </si>
  <si>
    <t>dB(Lden)</t>
  </si>
  <si>
    <r>
      <rPr>
        <b/>
        <sz val="10"/>
        <rFont val="Arial"/>
        <family val="2"/>
      </rPr>
      <t xml:space="preserve">% living in areas of </t>
    </r>
    <r>
      <rPr>
        <b/>
        <sz val="10"/>
        <rFont val="Symbol"/>
        <family val="1"/>
      </rPr>
      <t>³</t>
    </r>
    <r>
      <rPr>
        <b/>
        <sz val="10"/>
        <rFont val="Arial"/>
        <family val="2"/>
      </rPr>
      <t>55dB outdoors</t>
    </r>
  </si>
  <si>
    <t>NA</t>
  </si>
  <si>
    <t>all Finns</t>
  </si>
  <si>
    <t>NA</t>
  </si>
  <si>
    <t>minimum</t>
  </si>
  <si>
    <t>dB</t>
  </si>
  <si>
    <t>% (highly) annoyed by outdoor noise</t>
  </si>
  <si>
    <t>ERF (% annoyed vs dB)</t>
  </si>
  <si>
    <t>all Finns</t>
  </si>
  <si>
    <t>NA</t>
  </si>
  <si>
    <t>minimum</t>
  </si>
  <si>
    <t>NA</t>
  </si>
  <si>
    <t>NA</t>
  </si>
  <si>
    <t>NA</t>
  </si>
  <si>
    <t>dB(Lden)</t>
  </si>
  <si>
    <t>sleep disturbance</t>
  </si>
  <si>
    <t>ERF</t>
  </si>
  <si>
    <t>all Finns</t>
  </si>
  <si>
    <t>NA</t>
  </si>
  <si>
    <t>best guess</t>
  </si>
  <si>
    <t>NA</t>
  </si>
  <si>
    <t>NA</t>
  </si>
  <si>
    <t>NA</t>
  </si>
  <si>
    <t>minimum</t>
  </si>
  <si>
    <t>NA</t>
  </si>
  <si>
    <t>NA</t>
  </si>
  <si>
    <t>NA</t>
  </si>
  <si>
    <t>maximum</t>
  </si>
  <si>
    <t>NA</t>
  </si>
  <si>
    <t>NA</t>
  </si>
  <si>
    <t>NA</t>
  </si>
  <si>
    <t>dB(Lden)</t>
  </si>
  <si>
    <t>cardiovascular (to be specified)</t>
  </si>
  <si>
    <t>RR/epi</t>
  </si>
  <si>
    <t>all Finns</t>
  </si>
  <si>
    <t>NA</t>
  </si>
  <si>
    <t>best guess</t>
  </si>
  <si>
    <t>NA</t>
  </si>
  <si>
    <t>NA</t>
  </si>
  <si>
    <t>NA</t>
  </si>
  <si>
    <t>minimum</t>
  </si>
  <si>
    <t>NA</t>
  </si>
  <si>
    <t>NA</t>
  </si>
  <si>
    <t>NA</t>
  </si>
  <si>
    <t>maximum</t>
  </si>
  <si>
    <t>NA</t>
  </si>
  <si>
    <t>NA</t>
  </si>
  <si>
    <t>NA</t>
  </si>
  <si>
    <t>dB(Lden)-55dB</t>
  </si>
  <si>
    <t>perceived monetary value</t>
  </si>
  <si>
    <t>WTP (to decrease Lden to 55 dB)</t>
  </si>
  <si>
    <t>all Finns (households)</t>
  </si>
  <si>
    <t>NA</t>
  </si>
  <si>
    <t>best guess</t>
  </si>
  <si>
    <t>N/A</t>
  </si>
  <si>
    <t>NA</t>
  </si>
  <si>
    <t>NA</t>
  </si>
  <si>
    <t>NA</t>
  </si>
  <si>
    <t>minimum</t>
  </si>
  <si>
    <t>N/A</t>
  </si>
  <si>
    <t>NA</t>
  </si>
  <si>
    <t>NA</t>
  </si>
  <si>
    <t>NA</t>
  </si>
  <si>
    <t>maximum</t>
  </si>
  <si>
    <t>N/A</t>
  </si>
  <si>
    <t>NA</t>
  </si>
  <si>
    <t>NA</t>
  </si>
  <si>
    <t>NA</t>
  </si>
  <si>
    <t>Food born epicemics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</si>
  <si>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</si>
  <si>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</si>
  <si>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</si>
  <si>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</si>
  <si>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</si>
  <si>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</si>
  <si>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</si>
  <si>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</si>
  <si>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</si>
  <si>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</si>
  <si>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</si>
  <si>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</si>
  <si>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</si>
  <si>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</si>
  <si>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</si>
  <si>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</si>
  <si>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</si>
  <si>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</si>
  <si>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</si>
  <si>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</si>
  <si>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</si>
  <si>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</si>
  <si>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</si>
  <si>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</si>
  <si>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</si>
  <si>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</si>
  <si>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</si>
  <si>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</si>
  <si>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</si>
  <si>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Water born epidemics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</si>
  <si>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</si>
  <si>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</si>
  <si>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</si>
  <si>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</si>
  <si>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</si>
  <si>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</si>
  <si>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</si>
  <si>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</si>
  <si>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</si>
  <si>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</si>
  <si>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</si>
  <si>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</si>
  <si>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</si>
  <si>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</si>
  <si>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</si>
  <si>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</si>
  <si>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</si>
  <si>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</si>
  <si>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</si>
  <si>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</si>
  <si>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</si>
  <si>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</si>
  <si>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</si>
  <si>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</si>
  <si>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</si>
  <si>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</si>
  <si>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</si>
  <si>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</si>
  <si>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</si>
  <si>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Reference health issues:</t>
  </si>
  <si>
    <t>Accidents: traffic</t>
  </si>
  <si>
    <t>death</t>
  </si>
  <si>
    <t>registry data</t>
  </si>
  <si>
    <t>all Finns</t>
  </si>
  <si>
    <t>best guess</t>
  </si>
  <si>
    <t>minimum</t>
  </si>
  <si>
    <t>maximum</t>
  </si>
  <si>
    <t>Accidents: occupational</t>
  </si>
  <si>
    <t>death</t>
  </si>
  <si>
    <t>registry data</t>
  </si>
  <si>
    <t>Finns at working age (18-65?)</t>
  </si>
  <si>
    <t>best guess</t>
  </si>
  <si>
    <t>minimum</t>
  </si>
  <si>
    <t>maximum</t>
  </si>
  <si>
    <t>Accidents: other</t>
  </si>
  <si>
    <t>death</t>
  </si>
  <si>
    <t>registry data</t>
  </si>
  <si>
    <t>all Finns</t>
  </si>
  <si>
    <t>best guess</t>
  </si>
  <si>
    <t>minimum</t>
  </si>
  <si>
    <t>maximum</t>
  </si>
  <si>
    <t>Salmon congener profile:</t>
  </si>
  <si>
    <t>N:\YTOS\Projects\BENERIS\WP2\Datat muut\PCDD-F concn in Finnish fish_30112007_hk_ak.xls</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</si>
  <si>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</si>
  <si>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</si>
  <si>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</si>
  <si>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</si>
  <si>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</si>
  <si>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</si>
  <si>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</si>
  <si>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</si>
  <si>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</si>
  <si>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</si>
  <si>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</si>
  <si>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</si>
  <si>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</si>
  <si>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</si>
  <si>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</si>
  <si>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</si>
  <si>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</si>
  <si>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</si>
  <si>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</si>
  <si>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</si>
  <si>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</si>
  <si>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</si>
  <si>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Perch congener profile:</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</si>
  <si>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</si>
  <si>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</si>
  <si>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</si>
  <si>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</si>
  <si>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</si>
  <si>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</si>
  <si>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</si>
  <si>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</si>
  <si>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</si>
  <si>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</si>
  <si>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</si>
  <si>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</si>
  <si>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</si>
  <si>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</si>
  <si>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</si>
  <si>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</si>
  <si>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</si>
  <si>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</si>
  <si>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</si>
  <si>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</si>
  <si>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</si>
  <si>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</si>
  <si>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Fat percentage salmon</t>
  </si>
  <si>
    <t>Fat percentage perch</t>
  </si>
  <si>
    <t>Mean fat concentration:</t>
  </si>
  <si>
    <t>Fat ratio (perch/salmon):</t>
  </si>
  <si>
    <t>UV-radiation</t>
  </si>
  <si>
    <t>kJ</t>
  </si>
  <si>
    <t>Squamous cell carcinoma incidence</t>
  </si>
  <si>
    <t>patofysiologia</t>
  </si>
  <si>
    <t>skin</t>
  </si>
  <si>
    <t>Solarium</t>
  </si>
  <si>
    <t>solarium users</t>
  </si>
  <si>
    <t>Chernobyl accident</t>
  </si>
  <si>
    <t>mSv</t>
  </si>
  <si>
    <t>Total cancer deaths</t>
  </si>
  <si>
    <t>ingest &amp; inhal</t>
  </si>
  <si>
    <t>Yearly N of excess cases</t>
  </si>
  <si>
    <t>Total DALYs due to exposure</t>
  </si>
  <si>
    <t>Individual lifetime excess risk among exposed</t>
  </si>
  <si>
    <t>Guideline value</t>
  </si>
  <si>
    <t>Yearly N of excess cases among those above quideline value</t>
  </si>
</sst>
</file>

<file path=xl/styles.xml><?xml version="1.0" encoding="utf-8"?>
<styleSheet xmlns="http://schemas.openxmlformats.org/spreadsheetml/2006/main">
  <numFmts count="31">
    <numFmt numFmtId="5" formatCode="#,##0\ &quot;mk&quot;;\-#,##0\ &quot;mk&quot;"/>
    <numFmt numFmtId="6" formatCode="#,##0\ &quot;mk&quot;;[Red]\-#,##0\ &quot;mk&quot;"/>
    <numFmt numFmtId="7" formatCode="#,##0.00\ &quot;mk&quot;;\-#,##0.00\ &quot;mk&quot;"/>
    <numFmt numFmtId="8" formatCode="#,##0.00\ &quot;mk&quot;;[Red]\-#,##0.00\ &quot;mk&quot;"/>
    <numFmt numFmtId="42" formatCode="_-* #,##0\ &quot;mk&quot;_-;\-* #,##0\ &quot;mk&quot;_-;_-* &quot;-&quot;\ &quot;mk&quot;_-;_-@_-"/>
    <numFmt numFmtId="41" formatCode="_-* #,##0\ _m_k_-;\-* #,##0\ _m_k_-;_-* &quot;-&quot;\ _m_k_-;_-@_-"/>
    <numFmt numFmtId="44" formatCode="_-* #,##0.00\ &quot;mk&quot;_-;\-* #,##0.00\ &quot;mk&quot;_-;_-* &quot;-&quot;??\ &quot;mk&quot;_-;_-@_-"/>
    <numFmt numFmtId="43" formatCode="_-* #,##0.00\ _m_k_-;\-* #,##0.00\ _m_k_-;_-* &quot;-&quot;??\ _m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0.0000"/>
    <numFmt numFmtId="182" formatCode="0.0000000"/>
    <numFmt numFmtId="183" formatCode="0.000000"/>
    <numFmt numFmtId="184" formatCode="0.000"/>
    <numFmt numFmtId="185" formatCode="0.0&quot; %&quot;"/>
    <numFmt numFmtId="186" formatCode="0.0"/>
  </numFmts>
  <fonts count="15">
    <font>
      <sz val="10"/>
      <name val="Arial"/>
      <family val="0"/>
    </font>
    <font>
      <b/>
      <sz val="10"/>
      <name val="Arial"/>
      <family val="2"/>
    </font>
    <font>
      <sz val="10"/>
      <color indexed="18"/>
      <name val="Arial"/>
      <family val="0"/>
    </font>
    <font>
      <b/>
      <sz val="10"/>
      <color indexed="18"/>
      <name val="Arial"/>
      <family val="2"/>
    </font>
    <font>
      <b/>
      <sz val="12"/>
      <name val="Arial"/>
      <family val="2"/>
    </font>
    <font>
      <b/>
      <sz val="10"/>
      <color indexed="22"/>
      <name val="Arial"/>
      <family val="2"/>
    </font>
    <font>
      <sz val="10"/>
      <color indexed="22"/>
      <name val="Arial"/>
      <family val="2"/>
    </font>
    <font>
      <sz val="10"/>
      <color indexed="55"/>
      <name val="Arial"/>
      <family val="0"/>
    </font>
    <font>
      <b/>
      <sz val="10"/>
      <name val="Symbol"/>
      <family val="1"/>
    </font>
    <font>
      <b/>
      <sz val="10"/>
      <color indexed="12"/>
      <name val="Arial"/>
      <family val="2"/>
    </font>
    <font>
      <i/>
      <sz val="8"/>
      <name val="Arial"/>
      <family val="2"/>
    </font>
    <font>
      <b/>
      <sz val="8"/>
      <name val="Arial"/>
      <family val="2"/>
    </font>
    <font>
      <sz val="8"/>
      <name val="Arial"/>
      <family val="0"/>
    </font>
    <font>
      <b/>
      <sz val="8"/>
      <name val="Tahoma"/>
      <family val="0"/>
    </font>
    <font>
      <sz val="8"/>
      <name val="Tahoma"/>
      <family val="0"/>
    </font>
  </fonts>
  <fills count="8">
    <fill>
      <patternFill/>
    </fill>
    <fill>
      <patternFill patternType="gray125"/>
    </fill>
    <fill>
      <patternFill patternType="solid">
        <fgColor indexed="42"/>
        <bgColor indexed="64"/>
      </patternFill>
    </fill>
    <fill>
      <patternFill patternType="solid">
        <fgColor indexed="17"/>
        <bgColor indexed="64"/>
      </patternFill>
    </fill>
    <fill>
      <patternFill patternType="solid">
        <fgColor indexed="12"/>
        <bgColor indexed="64"/>
      </patternFill>
    </fill>
    <fill>
      <patternFill patternType="solid">
        <fgColor indexed="27"/>
        <bgColor indexed="64"/>
      </patternFill>
    </fill>
    <fill>
      <patternFill patternType="solid">
        <fgColor indexed="43"/>
        <bgColor indexed="64"/>
      </patternFill>
    </fill>
    <fill>
      <patternFill patternType="solid">
        <fgColor indexed="15"/>
        <bgColor indexed="64"/>
      </patternFill>
    </fill>
  </fills>
  <borders count="15">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Border="1" applyAlignment="1">
      <alignment wrapText="1"/>
    </xf>
    <xf numFmtId="0" fontId="0" fillId="0" borderId="0" xfId="0" applyFont="1" applyBorder="1" applyAlignment="1">
      <alignment horizontal="righ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3" fontId="0" fillId="0" borderId="0" xfId="0" applyNumberFormat="1"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Fill="1" applyBorder="1" applyAlignment="1">
      <alignment/>
    </xf>
    <xf numFmtId="2" fontId="1" fillId="2" borderId="0" xfId="0" applyNumberFormat="1" applyFont="1" applyFill="1" applyBorder="1" applyAlignment="1">
      <alignment/>
    </xf>
    <xf numFmtId="2" fontId="0" fillId="2" borderId="0" xfId="0" applyNumberFormat="1" applyFont="1" applyFill="1" applyBorder="1" applyAlignment="1">
      <alignment/>
    </xf>
    <xf numFmtId="0" fontId="2" fillId="3"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2" fillId="4" borderId="0" xfId="0" applyFont="1" applyFill="1" applyBorder="1" applyAlignment="1">
      <alignment/>
    </xf>
    <xf numFmtId="0" fontId="1" fillId="0" borderId="1" xfId="0" applyFont="1" applyBorder="1" applyAlignment="1">
      <alignment wrapText="1"/>
    </xf>
    <xf numFmtId="0" fontId="1" fillId="0" borderId="1" xfId="0" applyFont="1" applyBorder="1" applyAlignment="1">
      <alignment horizontal="right" wrapText="1"/>
    </xf>
    <xf numFmtId="3" fontId="1" fillId="0" borderId="1" xfId="0" applyNumberFormat="1" applyFont="1" applyBorder="1" applyAlignment="1">
      <alignment horizontal="right" wrapText="1"/>
    </xf>
    <xf numFmtId="2" fontId="1" fillId="0" borderId="1" xfId="0" applyNumberFormat="1" applyFont="1" applyBorder="1" applyAlignment="1">
      <alignment horizontal="right" wrapText="1"/>
    </xf>
    <xf numFmtId="0" fontId="3" fillId="3" borderId="1" xfId="0" applyFont="1" applyFill="1" applyBorder="1" applyAlignment="1">
      <alignment wrapText="1"/>
    </xf>
    <xf numFmtId="0" fontId="3" fillId="4" borderId="1" xfId="0" applyFont="1" applyFill="1" applyBorder="1" applyAlignment="1">
      <alignment wrapText="1"/>
    </xf>
    <xf numFmtId="0" fontId="0" fillId="5" borderId="0" xfId="0" applyFont="1" applyFill="1" applyBorder="1" applyAlignment="1">
      <alignment wrapText="1"/>
    </xf>
    <xf numFmtId="2" fontId="0" fillId="0" borderId="0" xfId="0" applyNumberFormat="1" applyFont="1" applyBorder="1" applyAlignment="1">
      <alignment horizontal="right"/>
    </xf>
    <xf numFmtId="0" fontId="0" fillId="0" borderId="0" xfId="0" applyFont="1" applyBorder="1" applyAlignment="1">
      <alignment horizontal="right"/>
    </xf>
    <xf numFmtId="1" fontId="0" fillId="5" borderId="0" xfId="0" applyNumberFormat="1" applyFont="1" applyFill="1" applyBorder="1" applyAlignment="1">
      <alignment horizontal="right"/>
    </xf>
    <xf numFmtId="1" fontId="0" fillId="0" borderId="0" xfId="0" applyNumberFormat="1" applyFont="1" applyBorder="1" applyAlignment="1">
      <alignment horizontal="right"/>
    </xf>
    <xf numFmtId="0" fontId="1" fillId="0" borderId="2" xfId="0" applyFont="1" applyBorder="1" applyAlignment="1">
      <alignment wrapText="1"/>
    </xf>
    <xf numFmtId="0" fontId="0" fillId="0" borderId="2" xfId="0" applyFont="1" applyBorder="1" applyAlignment="1">
      <alignment horizontal="right"/>
    </xf>
    <xf numFmtId="0" fontId="1" fillId="0" borderId="2" xfId="0" applyFont="1" applyBorder="1" applyAlignment="1">
      <alignment/>
    </xf>
    <xf numFmtId="0" fontId="0" fillId="0" borderId="2" xfId="0" applyFont="1" applyBorder="1" applyAlignment="1">
      <alignment/>
    </xf>
    <xf numFmtId="0" fontId="0" fillId="0" borderId="2" xfId="0" applyFont="1" applyBorder="1" applyAlignment="1">
      <alignment wrapText="1"/>
    </xf>
    <xf numFmtId="0" fontId="0" fillId="0" borderId="2" xfId="0" applyFont="1" applyBorder="1" applyAlignment="1">
      <alignment/>
    </xf>
    <xf numFmtId="2" fontId="0" fillId="0" borderId="2" xfId="0" applyNumberFormat="1" applyFont="1" applyBorder="1" applyAlignment="1">
      <alignment horizontal="right"/>
    </xf>
    <xf numFmtId="0" fontId="2" fillId="3" borderId="2" xfId="0" applyFont="1" applyFill="1" applyBorder="1" applyAlignment="1">
      <alignment/>
    </xf>
    <xf numFmtId="0" fontId="0" fillId="0" borderId="2" xfId="0" applyFont="1" applyBorder="1" applyAlignment="1">
      <alignment horizontal="right"/>
    </xf>
    <xf numFmtId="1" fontId="0" fillId="0" borderId="2" xfId="0" applyNumberFormat="1" applyFont="1" applyBorder="1" applyAlignment="1">
      <alignment horizontal="right"/>
    </xf>
    <xf numFmtId="0" fontId="2" fillId="4" borderId="2" xfId="0" applyFont="1" applyFill="1" applyBorder="1" applyAlignment="1">
      <alignment/>
    </xf>
    <xf numFmtId="0" fontId="1" fillId="0" borderId="3" xfId="0" applyFont="1" applyBorder="1" applyAlignment="1">
      <alignment wrapText="1"/>
    </xf>
    <xf numFmtId="0" fontId="0" fillId="0" borderId="3" xfId="0" applyFont="1" applyBorder="1" applyAlignment="1">
      <alignment horizontal="right" wrapText="1"/>
    </xf>
    <xf numFmtId="0" fontId="1" fillId="0" borderId="3" xfId="0" applyFont="1" applyBorder="1" applyAlignment="1">
      <alignment/>
    </xf>
    <xf numFmtId="0" fontId="0" fillId="0" borderId="3" xfId="0" applyFont="1" applyBorder="1" applyAlignment="1">
      <alignment/>
    </xf>
    <xf numFmtId="0" fontId="0" fillId="5" borderId="3" xfId="0" applyFont="1" applyFill="1" applyBorder="1" applyAlignment="1">
      <alignment wrapText="1"/>
    </xf>
    <xf numFmtId="3" fontId="0" fillId="0" borderId="3" xfId="0" applyNumberFormat="1" applyFont="1" applyBorder="1" applyAlignment="1">
      <alignment/>
    </xf>
    <xf numFmtId="0" fontId="0" fillId="0" borderId="3" xfId="0" applyFont="1" applyBorder="1" applyAlignment="1">
      <alignment/>
    </xf>
    <xf numFmtId="180" fontId="0" fillId="0" borderId="3" xfId="0" applyNumberFormat="1" applyFont="1" applyBorder="1" applyAlignment="1">
      <alignment horizontal="right"/>
    </xf>
    <xf numFmtId="2" fontId="0" fillId="0" borderId="3" xfId="0" applyNumberFormat="1" applyFont="1" applyBorder="1" applyAlignment="1">
      <alignment horizontal="right"/>
    </xf>
    <xf numFmtId="2" fontId="0" fillId="5" borderId="3" xfId="0" applyNumberFormat="1" applyFont="1" applyFill="1" applyBorder="1" applyAlignment="1">
      <alignment horizontal="right"/>
    </xf>
    <xf numFmtId="0" fontId="2" fillId="3" borderId="3" xfId="0" applyFont="1" applyFill="1" applyBorder="1" applyAlignment="1">
      <alignment/>
    </xf>
    <xf numFmtId="0" fontId="0" fillId="0" borderId="3" xfId="0" applyFont="1" applyBorder="1" applyAlignment="1">
      <alignment horizontal="right"/>
    </xf>
    <xf numFmtId="1" fontId="0" fillId="0" borderId="3" xfId="0" applyNumberFormat="1" applyFont="1" applyBorder="1" applyAlignment="1">
      <alignment horizontal="right"/>
    </xf>
    <xf numFmtId="0" fontId="2" fillId="4" borderId="3" xfId="0" applyFont="1" applyFill="1" applyBorder="1" applyAlignment="1">
      <alignment/>
    </xf>
    <xf numFmtId="3" fontId="0" fillId="0" borderId="2" xfId="0" applyNumberFormat="1" applyFont="1" applyBorder="1" applyAlignment="1">
      <alignment/>
    </xf>
    <xf numFmtId="0" fontId="1" fillId="0" borderId="4" xfId="0" applyFont="1" applyBorder="1" applyAlignment="1">
      <alignment wrapText="1"/>
    </xf>
    <xf numFmtId="0" fontId="0" fillId="0" borderId="4" xfId="0" applyFont="1" applyBorder="1" applyAlignment="1">
      <alignment horizontal="right"/>
    </xf>
    <xf numFmtId="0" fontId="1" fillId="0" borderId="4" xfId="0" applyFont="1" applyBorder="1" applyAlignment="1">
      <alignment/>
    </xf>
    <xf numFmtId="0" fontId="0" fillId="0" borderId="4" xfId="0" applyFont="1" applyBorder="1" applyAlignment="1">
      <alignment/>
    </xf>
    <xf numFmtId="0" fontId="0" fillId="0" borderId="4" xfId="0" applyFont="1" applyBorder="1" applyAlignment="1">
      <alignment wrapText="1"/>
    </xf>
    <xf numFmtId="3" fontId="0" fillId="0" borderId="4" xfId="0" applyNumberFormat="1" applyFont="1" applyBorder="1" applyAlignment="1">
      <alignment/>
    </xf>
    <xf numFmtId="0" fontId="0" fillId="0" borderId="4" xfId="0" applyFont="1" applyBorder="1" applyAlignment="1">
      <alignment/>
    </xf>
    <xf numFmtId="2" fontId="0" fillId="0" borderId="4" xfId="0" applyNumberFormat="1" applyFont="1" applyBorder="1" applyAlignment="1">
      <alignment horizontal="right"/>
    </xf>
    <xf numFmtId="0" fontId="2" fillId="3" borderId="4" xfId="0" applyFont="1" applyFill="1" applyBorder="1" applyAlignment="1">
      <alignment/>
    </xf>
    <xf numFmtId="0" fontId="0" fillId="0" borderId="4" xfId="0" applyFont="1" applyBorder="1" applyAlignment="1">
      <alignment horizontal="right"/>
    </xf>
    <xf numFmtId="181" fontId="0" fillId="0" borderId="4" xfId="0" applyNumberFormat="1" applyFont="1" applyBorder="1" applyAlignment="1">
      <alignment horizontal="right"/>
    </xf>
    <xf numFmtId="1" fontId="0" fillId="0" borderId="4" xfId="0" applyNumberFormat="1" applyFont="1" applyBorder="1" applyAlignment="1">
      <alignment horizontal="right"/>
    </xf>
    <xf numFmtId="0" fontId="0" fillId="5" borderId="4" xfId="0" applyFont="1" applyFill="1" applyBorder="1" applyAlignment="1">
      <alignment/>
    </xf>
    <xf numFmtId="1" fontId="0" fillId="5" borderId="3" xfId="0" applyNumberFormat="1" applyFont="1" applyFill="1" applyBorder="1" applyAlignment="1">
      <alignment horizontal="right"/>
    </xf>
    <xf numFmtId="0" fontId="0" fillId="0" borderId="0" xfId="0" applyFont="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xf>
    <xf numFmtId="0" fontId="0" fillId="6" borderId="0" xfId="0" applyFont="1" applyFill="1" applyBorder="1" applyAlignment="1">
      <alignment horizontal="right"/>
    </xf>
    <xf numFmtId="0" fontId="0" fillId="0" borderId="2" xfId="0" applyFont="1" applyBorder="1" applyAlignment="1">
      <alignment horizontal="right" wrapText="1"/>
    </xf>
    <xf numFmtId="0" fontId="0" fillId="0" borderId="2" xfId="0" applyFont="1" applyFill="1" applyBorder="1" applyAlignment="1">
      <alignment/>
    </xf>
    <xf numFmtId="0" fontId="0" fillId="6" borderId="2" xfId="0" applyFont="1" applyFill="1" applyBorder="1" applyAlignment="1">
      <alignment horizontal="right"/>
    </xf>
    <xf numFmtId="0" fontId="1" fillId="0" borderId="0" xfId="0" applyFont="1" applyFill="1" applyBorder="1" applyAlignment="1">
      <alignment/>
    </xf>
    <xf numFmtId="182" fontId="0" fillId="0" borderId="0" xfId="0" applyNumberFormat="1" applyFont="1" applyBorder="1" applyAlignment="1">
      <alignment horizontal="right"/>
    </xf>
    <xf numFmtId="183" fontId="0" fillId="0" borderId="0" xfId="0" applyNumberFormat="1" applyFont="1" applyBorder="1" applyAlignment="1">
      <alignment horizontal="right"/>
    </xf>
    <xf numFmtId="2" fontId="0" fillId="5" borderId="0" xfId="0" applyNumberFormat="1" applyFont="1" applyFill="1" applyBorder="1" applyAlignment="1">
      <alignment horizontal="right"/>
    </xf>
    <xf numFmtId="183" fontId="0" fillId="0" borderId="0" xfId="0" applyNumberFormat="1" applyFont="1" applyFill="1" applyBorder="1" applyAlignment="1">
      <alignment horizontal="right"/>
    </xf>
    <xf numFmtId="181" fontId="0" fillId="0" borderId="0" xfId="0" applyNumberFormat="1" applyFont="1" applyBorder="1" applyAlignment="1">
      <alignment horizontal="right"/>
    </xf>
    <xf numFmtId="0" fontId="1" fillId="0" borderId="2" xfId="0" applyFont="1" applyFill="1" applyBorder="1" applyAlignment="1">
      <alignment/>
    </xf>
    <xf numFmtId="0" fontId="0" fillId="5" borderId="2" xfId="0" applyFont="1" applyFill="1" applyBorder="1" applyAlignment="1">
      <alignment wrapText="1"/>
    </xf>
    <xf numFmtId="2" fontId="0" fillId="0" borderId="2" xfId="0" applyNumberFormat="1" applyFont="1" applyBorder="1" applyAlignment="1">
      <alignment/>
    </xf>
    <xf numFmtId="2" fontId="0" fillId="5" borderId="2" xfId="0" applyNumberFormat="1" applyFont="1" applyFill="1" applyBorder="1" applyAlignment="1">
      <alignment horizontal="right"/>
    </xf>
    <xf numFmtId="11" fontId="0" fillId="0" borderId="0" xfId="0" applyNumberFormat="1" applyFont="1" applyBorder="1" applyAlignment="1">
      <alignment/>
    </xf>
    <xf numFmtId="11" fontId="0" fillId="0" borderId="0" xfId="0" applyNumberFormat="1" applyFont="1" applyBorder="1" applyAlignment="1">
      <alignment horizontal="right"/>
    </xf>
    <xf numFmtId="184" fontId="0" fillId="5" borderId="0" xfId="0" applyNumberFormat="1" applyFont="1" applyFill="1" applyBorder="1" applyAlignment="1">
      <alignment horizontal="right"/>
    </xf>
    <xf numFmtId="0" fontId="5"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3" fontId="6" fillId="0" borderId="0" xfId="0" applyNumberFormat="1" applyFont="1" applyBorder="1" applyAlignment="1">
      <alignment/>
    </xf>
    <xf numFmtId="0" fontId="6" fillId="0" borderId="0" xfId="0" applyFont="1" applyBorder="1" applyAlignment="1">
      <alignment/>
    </xf>
    <xf numFmtId="2" fontId="6" fillId="0" borderId="0" xfId="0" applyNumberFormat="1" applyFont="1" applyBorder="1" applyAlignment="1">
      <alignment/>
    </xf>
    <xf numFmtId="0" fontId="6" fillId="3" borderId="0" xfId="0" applyFont="1" applyFill="1" applyBorder="1" applyAlignment="1">
      <alignment/>
    </xf>
    <xf numFmtId="0" fontId="6" fillId="4" borderId="0" xfId="0" applyFont="1" applyFill="1" applyBorder="1" applyAlignment="1">
      <alignment/>
    </xf>
    <xf numFmtId="0" fontId="5" fillId="0" borderId="2" xfId="0" applyFont="1" applyBorder="1" applyAlignment="1">
      <alignment wrapText="1"/>
    </xf>
    <xf numFmtId="0" fontId="6" fillId="0" borderId="2" xfId="0" applyFont="1" applyBorder="1" applyAlignment="1">
      <alignment horizontal="right" wrapText="1"/>
    </xf>
    <xf numFmtId="0" fontId="5" fillId="0" borderId="2" xfId="0" applyFont="1" applyBorder="1" applyAlignment="1">
      <alignment/>
    </xf>
    <xf numFmtId="0" fontId="6" fillId="0" borderId="2" xfId="0" applyFont="1" applyFill="1" applyBorder="1" applyAlignment="1">
      <alignment/>
    </xf>
    <xf numFmtId="0" fontId="6" fillId="0" borderId="2" xfId="0" applyFont="1" applyFill="1" applyBorder="1" applyAlignment="1">
      <alignment wrapText="1"/>
    </xf>
    <xf numFmtId="3" fontId="6" fillId="0" borderId="2" xfId="0" applyNumberFormat="1" applyFont="1" applyBorder="1" applyAlignment="1">
      <alignment/>
    </xf>
    <xf numFmtId="0" fontId="6" fillId="0" borderId="2" xfId="0" applyFont="1" applyBorder="1" applyAlignment="1">
      <alignment/>
    </xf>
    <xf numFmtId="2" fontId="6" fillId="0" borderId="2" xfId="0" applyNumberFormat="1" applyFont="1" applyBorder="1" applyAlignment="1">
      <alignment/>
    </xf>
    <xf numFmtId="0" fontId="6" fillId="3" borderId="2"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wrapText="1"/>
    </xf>
    <xf numFmtId="2" fontId="0" fillId="0" borderId="0" xfId="0" applyNumberFormat="1" applyFont="1" applyFill="1" applyBorder="1" applyAlignment="1">
      <alignment horizontal="right"/>
    </xf>
    <xf numFmtId="0" fontId="0" fillId="5" borderId="0" xfId="0" applyFont="1" applyFill="1" applyBorder="1" applyAlignment="1">
      <alignment horizontal="right"/>
    </xf>
    <xf numFmtId="0" fontId="6" fillId="0" borderId="0" xfId="0" applyFont="1" applyFill="1" applyBorder="1" applyAlignment="1">
      <alignment/>
    </xf>
    <xf numFmtId="0" fontId="7"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right"/>
    </xf>
    <xf numFmtId="0" fontId="0" fillId="0" borderId="2" xfId="0" applyFont="1" applyFill="1" applyBorder="1" applyAlignment="1">
      <alignment horizontal="right"/>
    </xf>
    <xf numFmtId="0" fontId="0" fillId="0" borderId="2" xfId="0" applyFont="1" applyFill="1" applyBorder="1" applyAlignment="1">
      <alignment wrapText="1"/>
    </xf>
    <xf numFmtId="0" fontId="0" fillId="0" borderId="2" xfId="0" applyFont="1" applyFill="1" applyBorder="1" applyAlignment="1">
      <alignment wrapText="1"/>
    </xf>
    <xf numFmtId="0" fontId="0" fillId="0" borderId="2" xfId="0" applyFont="1" applyFill="1" applyBorder="1" applyAlignment="1">
      <alignment/>
    </xf>
    <xf numFmtId="0" fontId="0" fillId="0" borderId="2" xfId="0" applyFont="1" applyFill="1" applyBorder="1" applyAlignment="1">
      <alignment horizontal="right"/>
    </xf>
    <xf numFmtId="0" fontId="1" fillId="0" borderId="2" xfId="0" applyFont="1" applyFill="1" applyBorder="1" applyAlignment="1">
      <alignment wrapText="1"/>
    </xf>
    <xf numFmtId="3" fontId="0" fillId="7" borderId="2" xfId="0" applyNumberFormat="1" applyFont="1" applyFill="1" applyBorder="1" applyAlignment="1">
      <alignment/>
    </xf>
    <xf numFmtId="1" fontId="0" fillId="0" borderId="2" xfId="0" applyNumberFormat="1" applyFont="1" applyFill="1" applyBorder="1" applyAlignment="1">
      <alignment horizontal="right"/>
    </xf>
    <xf numFmtId="0" fontId="0" fillId="0" borderId="3" xfId="0" applyFont="1" applyFill="1" applyBorder="1" applyAlignment="1">
      <alignment horizontal="right"/>
    </xf>
    <xf numFmtId="0" fontId="1" fillId="0" borderId="4" xfId="0" applyFont="1" applyFill="1" applyBorder="1" applyAlignment="1">
      <alignment/>
    </xf>
    <xf numFmtId="0" fontId="0" fillId="0" borderId="4" xfId="0" applyFont="1" applyFill="1" applyBorder="1" applyAlignment="1">
      <alignment wrapText="1"/>
    </xf>
    <xf numFmtId="0" fontId="0" fillId="0" borderId="4" xfId="0" applyFont="1" applyFill="1" applyBorder="1" applyAlignment="1">
      <alignment/>
    </xf>
    <xf numFmtId="0" fontId="0" fillId="0" borderId="4" xfId="0" applyFont="1" applyFill="1" applyBorder="1" applyAlignment="1">
      <alignment/>
    </xf>
    <xf numFmtId="0" fontId="2" fillId="4" borderId="4" xfId="0" applyFont="1" applyFill="1" applyBorder="1" applyAlignment="1">
      <alignment/>
    </xf>
    <xf numFmtId="0" fontId="0" fillId="0" borderId="3" xfId="0" applyFont="1" applyBorder="1" applyAlignment="1">
      <alignment horizontal="right"/>
    </xf>
    <xf numFmtId="1" fontId="0" fillId="0" borderId="0" xfId="0" applyNumberFormat="1" applyFont="1" applyFill="1" applyBorder="1" applyAlignment="1">
      <alignment horizontal="right"/>
    </xf>
    <xf numFmtId="184" fontId="0" fillId="0" borderId="0" xfId="0" applyNumberFormat="1" applyFont="1" applyBorder="1" applyAlignment="1">
      <alignment/>
    </xf>
    <xf numFmtId="2" fontId="0" fillId="0" borderId="2" xfId="0" applyNumberFormat="1" applyFont="1" applyBorder="1" applyAlignment="1">
      <alignment/>
    </xf>
    <xf numFmtId="3" fontId="0" fillId="0" borderId="0" xfId="0" applyNumberFormat="1" applyFont="1" applyBorder="1" applyAlignment="1">
      <alignment/>
    </xf>
    <xf numFmtId="1" fontId="2" fillId="3" borderId="0" xfId="0" applyNumberFormat="1" applyFont="1" applyFill="1" applyBorder="1" applyAlignment="1">
      <alignment/>
    </xf>
    <xf numFmtId="1" fontId="2" fillId="4" borderId="0" xfId="0" applyNumberFormat="1" applyFont="1" applyFill="1" applyBorder="1" applyAlignment="1">
      <alignment/>
    </xf>
    <xf numFmtId="0" fontId="4" fillId="0" borderId="2" xfId="0" applyFont="1" applyBorder="1" applyAlignment="1">
      <alignment/>
    </xf>
    <xf numFmtId="0" fontId="0" fillId="0" borderId="5" xfId="0" applyFont="1" applyBorder="1" applyAlignment="1">
      <alignment/>
    </xf>
    <xf numFmtId="0" fontId="0" fillId="0" borderId="1" xfId="0" applyFont="1" applyBorder="1" applyAlignment="1">
      <alignment/>
    </xf>
    <xf numFmtId="0" fontId="10" fillId="0" borderId="1" xfId="0" applyFont="1" applyBorder="1" applyAlignment="1">
      <alignment/>
    </xf>
    <xf numFmtId="0" fontId="0" fillId="0" borderId="6" xfId="0" applyFont="1" applyBorder="1" applyAlignment="1">
      <alignment/>
    </xf>
    <xf numFmtId="0" fontId="11" fillId="0" borderId="7" xfId="0" applyFont="1" applyBorder="1" applyAlignment="1">
      <alignment horizontal="center" wrapText="1"/>
    </xf>
    <xf numFmtId="0" fontId="11" fillId="0" borderId="8" xfId="0" applyFont="1" applyBorder="1" applyAlignment="1">
      <alignment horizontal="center" wrapText="1"/>
    </xf>
    <xf numFmtId="180" fontId="12" fillId="0" borderId="3" xfId="0" applyNumberFormat="1" applyFont="1" applyBorder="1" applyAlignment="1">
      <alignment horizontal="center"/>
    </xf>
    <xf numFmtId="180" fontId="12" fillId="0" borderId="9" xfId="0" applyNumberFormat="1" applyFont="1" applyBorder="1" applyAlignment="1">
      <alignment horizontal="center"/>
    </xf>
    <xf numFmtId="180" fontId="0" fillId="0" borderId="0" xfId="0" applyNumberFormat="1" applyFont="1" applyBorder="1" applyAlignment="1">
      <alignment/>
    </xf>
    <xf numFmtId="180" fontId="12" fillId="0" borderId="0" xfId="0" applyNumberFormat="1" applyFont="1" applyBorder="1" applyAlignment="1">
      <alignment horizontal="center"/>
    </xf>
    <xf numFmtId="180" fontId="12" fillId="0" borderId="10" xfId="0" applyNumberFormat="1" applyFont="1" applyBorder="1" applyAlignment="1">
      <alignment horizontal="center"/>
    </xf>
    <xf numFmtId="180" fontId="12" fillId="0" borderId="2" xfId="0" applyNumberFormat="1" applyFont="1" applyBorder="1" applyAlignment="1">
      <alignment horizontal="center"/>
    </xf>
    <xf numFmtId="180" fontId="12" fillId="0" borderId="11" xfId="0" applyNumberFormat="1" applyFont="1" applyBorder="1" applyAlignment="1">
      <alignment horizontal="center"/>
    </xf>
    <xf numFmtId="180" fontId="0" fillId="0" borderId="3" xfId="0" applyNumberFormat="1" applyFont="1" applyBorder="1" applyAlignment="1">
      <alignment/>
    </xf>
    <xf numFmtId="180" fontId="0" fillId="0" borderId="9" xfId="0" applyNumberFormat="1" applyFont="1" applyBorder="1" applyAlignment="1">
      <alignment/>
    </xf>
    <xf numFmtId="1" fontId="0" fillId="0" borderId="2" xfId="0" applyNumberFormat="1" applyFont="1" applyBorder="1" applyAlignment="1">
      <alignment/>
    </xf>
    <xf numFmtId="1" fontId="0" fillId="0" borderId="11" xfId="0" applyNumberFormat="1" applyFont="1" applyBorder="1" applyAlignment="1">
      <alignment/>
    </xf>
    <xf numFmtId="180" fontId="12" fillId="0" borderId="0" xfId="0" applyNumberFormat="1" applyFont="1" applyFill="1" applyBorder="1" applyAlignment="1">
      <alignment horizontal="center"/>
    </xf>
    <xf numFmtId="0" fontId="0" fillId="0" borderId="10" xfId="0" applyFont="1" applyBorder="1" applyAlignment="1">
      <alignment/>
    </xf>
    <xf numFmtId="0" fontId="1" fillId="0" borderId="10" xfId="0" applyFont="1" applyBorder="1" applyAlignment="1">
      <alignment/>
    </xf>
    <xf numFmtId="0" fontId="0" fillId="0" borderId="12" xfId="0" applyFont="1" applyBorder="1" applyAlignment="1">
      <alignment/>
    </xf>
    <xf numFmtId="186" fontId="12" fillId="0" borderId="0" xfId="0" applyNumberFormat="1" applyFont="1" applyBorder="1" applyAlignment="1">
      <alignment horizontal="center"/>
    </xf>
    <xf numFmtId="2" fontId="12" fillId="0" borderId="0" xfId="0" applyNumberFormat="1" applyFont="1" applyBorder="1" applyAlignment="1">
      <alignment horizontal="center"/>
    </xf>
    <xf numFmtId="2" fontId="12" fillId="0" borderId="2" xfId="0" applyNumberFormat="1" applyFont="1" applyBorder="1" applyAlignment="1">
      <alignment horizontal="center"/>
    </xf>
    <xf numFmtId="186" fontId="0" fillId="0" borderId="0" xfId="0" applyNumberFormat="1" applyFont="1" applyBorder="1" applyAlignment="1">
      <alignment/>
    </xf>
    <xf numFmtId="0" fontId="0" fillId="0" borderId="11" xfId="0" applyFont="1" applyBorder="1" applyAlignment="1">
      <alignment/>
    </xf>
    <xf numFmtId="3" fontId="0" fillId="0" borderId="0" xfId="0" applyNumberFormat="1"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horizontal="right"/>
    </xf>
    <xf numFmtId="0" fontId="1" fillId="0" borderId="13"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3" fontId="0" fillId="0" borderId="13" xfId="0" applyNumberFormat="1" applyFont="1" applyFill="1" applyBorder="1" applyAlignment="1">
      <alignment/>
    </xf>
    <xf numFmtId="2" fontId="0" fillId="0" borderId="13" xfId="0" applyNumberFormat="1" applyFont="1" applyFill="1" applyBorder="1" applyAlignment="1">
      <alignment horizontal="right"/>
    </xf>
    <xf numFmtId="0" fontId="2" fillId="0" borderId="13" xfId="0" applyFont="1" applyFill="1" applyBorder="1" applyAlignment="1">
      <alignment/>
    </xf>
    <xf numFmtId="0" fontId="0" fillId="0" borderId="13" xfId="0" applyFont="1" applyFill="1" applyBorder="1" applyAlignment="1">
      <alignment horizontal="right"/>
    </xf>
    <xf numFmtId="1" fontId="1" fillId="0" borderId="13" xfId="0" applyNumberFormat="1" applyFont="1" applyFill="1" applyBorder="1" applyAlignment="1">
      <alignment/>
    </xf>
    <xf numFmtId="1" fontId="1" fillId="0" borderId="0" xfId="0" applyNumberFormat="1" applyFont="1" applyFill="1" applyBorder="1" applyAlignment="1">
      <alignment/>
    </xf>
    <xf numFmtId="0" fontId="0" fillId="0" borderId="14" xfId="0" applyFont="1" applyFill="1" applyBorder="1" applyAlignment="1">
      <alignment horizontal="right"/>
    </xf>
    <xf numFmtId="0" fontId="1" fillId="0" borderId="14"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wrapText="1"/>
    </xf>
    <xf numFmtId="3" fontId="0" fillId="0" borderId="14" xfId="0" applyNumberFormat="1" applyFont="1" applyFill="1" applyBorder="1" applyAlignment="1">
      <alignment/>
    </xf>
    <xf numFmtId="0" fontId="0" fillId="0" borderId="14" xfId="0" applyFont="1" applyFill="1" applyBorder="1" applyAlignment="1">
      <alignment/>
    </xf>
    <xf numFmtId="2" fontId="0" fillId="0" borderId="14" xfId="0" applyNumberFormat="1" applyFont="1" applyFill="1" applyBorder="1" applyAlignment="1">
      <alignment horizontal="right"/>
    </xf>
    <xf numFmtId="0" fontId="2" fillId="0" borderId="14" xfId="0" applyFont="1" applyFill="1" applyBorder="1" applyAlignment="1">
      <alignment/>
    </xf>
    <xf numFmtId="0" fontId="0" fillId="0" borderId="14" xfId="0" applyFont="1" applyFill="1" applyBorder="1" applyAlignment="1">
      <alignment horizontal="right"/>
    </xf>
    <xf numFmtId="1" fontId="0" fillId="0" borderId="13" xfId="0" applyNumberFormat="1" applyFill="1" applyBorder="1" applyAlignment="1">
      <alignment/>
    </xf>
    <xf numFmtId="9" fontId="0" fillId="0" borderId="0" xfId="0" applyNumberFormat="1" applyFill="1" applyBorder="1" applyAlignment="1">
      <alignment/>
    </xf>
    <xf numFmtId="1" fontId="0" fillId="0" borderId="0" xfId="0" applyNumberFormat="1" applyFill="1" applyBorder="1" applyAlignment="1">
      <alignment/>
    </xf>
    <xf numFmtId="9" fontId="0" fillId="0" borderId="14" xfId="0" applyNumberFormat="1" applyFill="1" applyBorder="1" applyAlignment="1">
      <alignment/>
    </xf>
    <xf numFmtId="1" fontId="0" fillId="0" borderId="14" xfId="0" applyNumberFormat="1" applyFill="1" applyBorder="1" applyAlignment="1">
      <alignment/>
    </xf>
    <xf numFmtId="1" fontId="0" fillId="0" borderId="14" xfId="0" applyNumberFormat="1" applyFont="1" applyFill="1" applyBorder="1" applyAlignment="1">
      <alignment horizontal="right"/>
    </xf>
    <xf numFmtId="9" fontId="1" fillId="0" borderId="13" xfId="0" applyNumberFormat="1" applyFont="1" applyFill="1" applyBorder="1" applyAlignment="1">
      <alignment/>
    </xf>
    <xf numFmtId="0" fontId="9" fillId="0" borderId="1" xfId="0" applyFont="1" applyFill="1" applyBorder="1" applyAlignment="1">
      <alignment/>
    </xf>
    <xf numFmtId="0" fontId="0" fillId="0" borderId="1" xfId="0" applyFont="1" applyFill="1" applyBorder="1" applyAlignment="1">
      <alignment horizontal="right"/>
    </xf>
    <xf numFmtId="0" fontId="1"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wrapText="1"/>
    </xf>
    <xf numFmtId="3" fontId="0" fillId="0" borderId="1" xfId="0" applyNumberFormat="1" applyFont="1" applyFill="1" applyBorder="1" applyAlignment="1">
      <alignment/>
    </xf>
    <xf numFmtId="0" fontId="0" fillId="0" borderId="1" xfId="0" applyFont="1" applyFill="1" applyBorder="1" applyAlignment="1">
      <alignment/>
    </xf>
    <xf numFmtId="2" fontId="0" fillId="0" borderId="1" xfId="0" applyNumberFormat="1" applyFont="1" applyFill="1" applyBorder="1" applyAlignment="1">
      <alignment/>
    </xf>
    <xf numFmtId="0" fontId="2" fillId="0" borderId="1" xfId="0" applyFont="1" applyFill="1" applyBorder="1" applyAlignment="1">
      <alignment/>
    </xf>
    <xf numFmtId="0" fontId="0" fillId="0" borderId="1" xfId="0" applyFont="1" applyFill="1" applyBorder="1" applyAlignment="1">
      <alignment horizontal="right"/>
    </xf>
    <xf numFmtId="2"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0" fontId="1" fillId="0" borderId="0" xfId="0" applyFont="1" applyFill="1" applyBorder="1" applyAlignment="1">
      <alignment wrapText="1"/>
    </xf>
    <xf numFmtId="2" fontId="0" fillId="0" borderId="0" xfId="0" applyNumberFormat="1" applyFont="1" applyFill="1" applyBorder="1" applyAlignment="1">
      <alignment/>
    </xf>
    <xf numFmtId="3" fontId="0" fillId="0" borderId="2" xfId="0" applyNumberFormat="1" applyFont="1" applyFill="1" applyBorder="1" applyAlignment="1">
      <alignment/>
    </xf>
    <xf numFmtId="2" fontId="0" fillId="0" borderId="2" xfId="0" applyNumberFormat="1" applyFont="1" applyFill="1" applyBorder="1" applyAlignment="1">
      <alignment/>
    </xf>
    <xf numFmtId="0" fontId="2" fillId="0" borderId="2" xfId="0" applyFont="1" applyFill="1" applyBorder="1" applyAlignment="1">
      <alignment/>
    </xf>
    <xf numFmtId="2" fontId="0" fillId="0" borderId="2" xfId="0" applyNumberFormat="1" applyFont="1" applyFill="1" applyBorder="1" applyAlignment="1">
      <alignment horizontal="right"/>
    </xf>
    <xf numFmtId="9" fontId="1" fillId="0" borderId="0" xfId="0" applyNumberFormat="1" applyFont="1" applyFill="1" applyBorder="1" applyAlignment="1">
      <alignment/>
    </xf>
    <xf numFmtId="9" fontId="1" fillId="0" borderId="14" xfId="0" applyNumberFormat="1" applyFont="1" applyFill="1" applyBorder="1" applyAlignment="1">
      <alignment/>
    </xf>
    <xf numFmtId="0" fontId="1" fillId="0" borderId="1" xfId="0" applyFont="1" applyBorder="1" applyAlignment="1">
      <alignment horizontal="left" wrapText="1"/>
    </xf>
    <xf numFmtId="0" fontId="1" fillId="0" borderId="14" xfId="0" applyFont="1" applyBorder="1" applyAlignment="1">
      <alignment horizontal="center" wrapText="1"/>
    </xf>
    <xf numFmtId="1" fontId="0" fillId="0" borderId="0" xfId="0" applyNumberFormat="1" applyFont="1" applyBorder="1" applyAlignment="1">
      <alignment/>
    </xf>
    <xf numFmtId="10" fontId="0" fillId="0" borderId="0" xfId="0" applyNumberFormat="1" applyFont="1" applyBorder="1" applyAlignment="1">
      <alignment/>
    </xf>
    <xf numFmtId="0" fontId="0" fillId="0" borderId="14" xfId="0" applyFont="1" applyBorder="1" applyAlignment="1">
      <alignment/>
    </xf>
    <xf numFmtId="10" fontId="0" fillId="0" borderId="1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D73"/>
  <sheetViews>
    <sheetView tabSelected="1" workbookViewId="0" topLeftCell="J1">
      <selection activeCell="AA24" sqref="AA24"/>
    </sheetView>
  </sheetViews>
  <sheetFormatPr defaultColWidth="9.140625" defaultRowHeight="12.75"/>
  <cols>
    <col min="1" max="1" width="24.00390625" style="1" customWidth="1"/>
    <col min="2" max="2" width="13.57421875" style="2" customWidth="1"/>
    <col min="3" max="3" width="35.7109375" style="3" customWidth="1"/>
    <col min="4" max="4" width="28.28125" style="4" customWidth="1"/>
    <col min="5" max="5" width="33.28125" style="4" customWidth="1"/>
    <col min="6" max="6" width="10.57421875" style="4" customWidth="1"/>
    <col min="7" max="7" width="11.57421875" style="5" customWidth="1"/>
    <col min="8" max="8" width="11.00390625" style="6" customWidth="1"/>
    <col min="9" max="9" width="9.28125" style="7" customWidth="1"/>
    <col min="10" max="10" width="12.00390625" style="7" customWidth="1"/>
    <col min="11" max="11" width="11.00390625" style="7" customWidth="1"/>
    <col min="12" max="12" width="11.140625" style="8" customWidth="1"/>
    <col min="13" max="13" width="9.140625" style="8" customWidth="1"/>
    <col min="14" max="14" width="15.421875" style="8" customWidth="1"/>
    <col min="15" max="15" width="1.28515625" style="9" customWidth="1"/>
    <col min="16" max="17" width="10.00390625" style="7" customWidth="1"/>
    <col min="18" max="18" width="11.421875" style="7" customWidth="1"/>
    <col min="19" max="19" width="10.00390625" style="7" customWidth="1"/>
    <col min="20" max="20" width="14.00390625" style="7" customWidth="1"/>
    <col min="21" max="21" width="1.28515625" style="9" customWidth="1"/>
    <col min="22" max="24" width="7.8515625" style="7" customWidth="1"/>
    <col min="25" max="25" width="1.28515625" style="9" customWidth="1"/>
    <col min="26" max="26" width="10.57421875" style="7" customWidth="1"/>
    <col min="27" max="27" width="11.00390625" style="7" customWidth="1"/>
    <col min="28" max="29" width="9.7109375" style="7" customWidth="1"/>
    <col min="30" max="30" width="10.7109375" style="7" customWidth="1"/>
    <col min="31" max="41" width="9.7109375" style="7" customWidth="1"/>
    <col min="42" max="42" width="10.57421875" style="7" customWidth="1"/>
    <col min="43" max="43" width="11.7109375" style="7" customWidth="1"/>
    <col min="44" max="16384" width="9.00390625" style="7" customWidth="1"/>
  </cols>
  <sheetData>
    <row r="1" spans="12:30" ht="12.75">
      <c r="L1" s="10" t="s">
        <v>0</v>
      </c>
      <c r="M1" s="11"/>
      <c r="N1" s="11"/>
      <c r="O1" s="12"/>
      <c r="P1" s="13" t="s">
        <v>1</v>
      </c>
      <c r="Q1" s="14"/>
      <c r="R1" s="14"/>
      <c r="S1" s="14"/>
      <c r="T1" s="14"/>
      <c r="U1" s="12"/>
      <c r="V1" s="13" t="s">
        <v>2</v>
      </c>
      <c r="W1" s="14"/>
      <c r="X1" s="14"/>
      <c r="Y1" s="15"/>
      <c r="Z1" s="13" t="s">
        <v>3</v>
      </c>
      <c r="AA1" s="14"/>
      <c r="AB1" s="14"/>
      <c r="AC1" s="14"/>
      <c r="AD1" s="14"/>
    </row>
    <row r="2" spans="1:30" s="1" customFormat="1" ht="102">
      <c r="A2" s="16" t="s">
        <v>4</v>
      </c>
      <c r="B2" s="17" t="s">
        <v>5</v>
      </c>
      <c r="C2" s="16" t="s">
        <v>6</v>
      </c>
      <c r="D2" s="16" t="s">
        <v>7</v>
      </c>
      <c r="E2" s="16" t="s">
        <v>8</v>
      </c>
      <c r="F2" s="16" t="s">
        <v>9</v>
      </c>
      <c r="G2" s="16" t="s">
        <v>10</v>
      </c>
      <c r="H2" s="18" t="s">
        <v>11</v>
      </c>
      <c r="I2" s="17" t="s">
        <v>12</v>
      </c>
      <c r="J2" s="17" t="s">
        <v>13</v>
      </c>
      <c r="K2" s="17" t="s">
        <v>14</v>
      </c>
      <c r="L2" s="19" t="s">
        <v>15</v>
      </c>
      <c r="M2" s="19" t="s">
        <v>16</v>
      </c>
      <c r="N2" s="19" t="s">
        <v>17</v>
      </c>
      <c r="O2" s="20"/>
      <c r="P2" s="17" t="s">
        <v>18</v>
      </c>
      <c r="Q2" s="17" t="s">
        <v>19</v>
      </c>
      <c r="R2" s="17" t="s">
        <v>20</v>
      </c>
      <c r="S2" s="17" t="s">
        <v>21</v>
      </c>
      <c r="T2" s="17" t="s">
        <v>22</v>
      </c>
      <c r="U2" s="20"/>
      <c r="V2" s="208" t="s">
        <v>23</v>
      </c>
      <c r="W2" s="208"/>
      <c r="X2" s="208"/>
      <c r="Y2" s="21"/>
      <c r="Z2" s="209" t="s">
        <v>409</v>
      </c>
      <c r="AA2" s="209" t="s">
        <v>410</v>
      </c>
      <c r="AB2" s="209" t="s">
        <v>411</v>
      </c>
      <c r="AC2" s="209" t="s">
        <v>412</v>
      </c>
      <c r="AD2" s="209" t="s">
        <v>413</v>
      </c>
    </row>
    <row r="3" spans="1:29" ht="12.75">
      <c r="A3" s="1" t="s">
        <v>24</v>
      </c>
      <c r="B3" s="2" t="s">
        <v>25</v>
      </c>
      <c r="C3" s="3" t="s">
        <v>26</v>
      </c>
      <c r="D3" s="4" t="s">
        <v>27</v>
      </c>
      <c r="E3" s="4" t="s">
        <v>28</v>
      </c>
      <c r="F3" s="4" t="s">
        <v>29</v>
      </c>
      <c r="G3" s="22" t="s">
        <v>30</v>
      </c>
      <c r="H3" s="6">
        <v>5307690</v>
      </c>
      <c r="I3" s="7">
        <v>123</v>
      </c>
      <c r="J3" s="7">
        <v>5</v>
      </c>
      <c r="K3" s="7">
        <v>70</v>
      </c>
      <c r="L3" s="23" t="s">
        <v>31</v>
      </c>
      <c r="M3" s="23" t="s">
        <v>32</v>
      </c>
      <c r="N3" s="23" t="s">
        <v>33</v>
      </c>
      <c r="O3" s="12"/>
      <c r="P3" s="24">
        <v>1.00139859654894</v>
      </c>
      <c r="Q3" s="23">
        <f>EXP(LN(P3)*(I3-J3))</f>
        <v>1.179297700235981</v>
      </c>
      <c r="R3" s="23">
        <f>(Q3-1)/Q3</f>
        <v>0.15203769175510393</v>
      </c>
      <c r="S3" s="24">
        <v>2134</v>
      </c>
      <c r="T3" s="25">
        <f>R3*S3</f>
        <v>324.4484342053918</v>
      </c>
      <c r="U3" s="12"/>
      <c r="Y3" s="15"/>
      <c r="Z3" s="210">
        <f>T3</f>
        <v>324.4484342053918</v>
      </c>
      <c r="AB3" s="211">
        <f>T3*70/H3</f>
        <v>0.004278959470952038</v>
      </c>
      <c r="AC3" s="211"/>
    </row>
    <row r="4" spans="7:29" ht="12.75">
      <c r="G4" s="5" t="s">
        <v>34</v>
      </c>
      <c r="H4" s="6">
        <v>5307690</v>
      </c>
      <c r="I4" s="7">
        <v>115</v>
      </c>
      <c r="J4" s="7">
        <v>5</v>
      </c>
      <c r="K4" s="7">
        <v>70</v>
      </c>
      <c r="L4" s="23" t="s">
        <v>35</v>
      </c>
      <c r="M4" s="23" t="s">
        <v>36</v>
      </c>
      <c r="N4" s="23" t="s">
        <v>37</v>
      </c>
      <c r="O4" s="12"/>
      <c r="P4" s="24">
        <v>1.0005</v>
      </c>
      <c r="Q4" s="23">
        <f>EXP(LN(P4)*(I4-J4))</f>
        <v>1.056526092182508</v>
      </c>
      <c r="R4" s="23">
        <f>(Q4-1)/Q4</f>
        <v>0.053501842122743726</v>
      </c>
      <c r="S4" s="24">
        <v>2134</v>
      </c>
      <c r="T4" s="26">
        <f>R4*S4</f>
        <v>114.1729310899351</v>
      </c>
      <c r="U4" s="12"/>
      <c r="Y4" s="15"/>
      <c r="Z4" s="210">
        <f aca="true" t="shared" si="0" ref="Z4:Z30">T4</f>
        <v>114.1729310899351</v>
      </c>
      <c r="AB4" s="211">
        <f aca="true" t="shared" si="1" ref="AB4:AB30">T4*70/H4</f>
        <v>0.0015057596009366517</v>
      </c>
      <c r="AC4" s="211"/>
    </row>
    <row r="5" spans="1:30" ht="12.75">
      <c r="A5" s="27"/>
      <c r="B5" s="28"/>
      <c r="C5" s="29"/>
      <c r="D5" s="30"/>
      <c r="E5" s="30"/>
      <c r="F5" s="30"/>
      <c r="G5" s="31" t="s">
        <v>38</v>
      </c>
      <c r="H5" s="6">
        <v>5307690</v>
      </c>
      <c r="I5" s="32">
        <v>135</v>
      </c>
      <c r="J5" s="32">
        <v>5</v>
      </c>
      <c r="K5" s="32">
        <v>70</v>
      </c>
      <c r="L5" s="33" t="s">
        <v>39</v>
      </c>
      <c r="M5" s="33" t="s">
        <v>40</v>
      </c>
      <c r="N5" s="33" t="s">
        <v>41</v>
      </c>
      <c r="O5" s="34"/>
      <c r="P5" s="35">
        <v>1.0029</v>
      </c>
      <c r="Q5" s="33">
        <f>EXP(LN(P5)*(I5-J5))</f>
        <v>1.457109100383827</v>
      </c>
      <c r="R5" s="33">
        <f>(Q5-1)/Q5</f>
        <v>0.3137095913157201</v>
      </c>
      <c r="S5" s="35">
        <v>2134</v>
      </c>
      <c r="T5" s="36">
        <f>R5*S5</f>
        <v>669.4562678677468</v>
      </c>
      <c r="U5" s="34"/>
      <c r="V5" s="32"/>
      <c r="W5" s="32"/>
      <c r="X5" s="32"/>
      <c r="Y5" s="37"/>
      <c r="Z5" s="210">
        <f t="shared" si="0"/>
        <v>669.4562678677468</v>
      </c>
      <c r="AA5" s="212"/>
      <c r="AB5" s="211">
        <f t="shared" si="1"/>
        <v>0.008829064762776702</v>
      </c>
      <c r="AC5" s="211"/>
      <c r="AD5" s="212"/>
    </row>
    <row r="6" spans="1:29" ht="12.75">
      <c r="A6" s="38" t="s">
        <v>42</v>
      </c>
      <c r="B6" s="39" t="s">
        <v>43</v>
      </c>
      <c r="C6" s="40" t="s">
        <v>44</v>
      </c>
      <c r="D6" s="41" t="s">
        <v>45</v>
      </c>
      <c r="E6" s="41" t="s">
        <v>46</v>
      </c>
      <c r="F6" s="41" t="s">
        <v>47</v>
      </c>
      <c r="G6" s="42" t="s">
        <v>48</v>
      </c>
      <c r="H6" s="43">
        <v>1000</v>
      </c>
      <c r="I6" s="44">
        <v>150</v>
      </c>
      <c r="J6" s="44">
        <v>0</v>
      </c>
      <c r="K6" s="44">
        <v>7</v>
      </c>
      <c r="L6" s="45">
        <v>0.00038</v>
      </c>
      <c r="M6" s="46">
        <f>(I6-J6)*(K6/70)*L6</f>
        <v>0.0057</v>
      </c>
      <c r="N6" s="47">
        <f>M6*H6/70</f>
        <v>0.08142857142857143</v>
      </c>
      <c r="O6" s="48"/>
      <c r="P6" s="49" t="s">
        <v>49</v>
      </c>
      <c r="Q6" s="49" t="s">
        <v>50</v>
      </c>
      <c r="R6" s="49" t="s">
        <v>51</v>
      </c>
      <c r="S6" s="49" t="s">
        <v>52</v>
      </c>
      <c r="T6" s="50" t="s">
        <v>53</v>
      </c>
      <c r="U6" s="48"/>
      <c r="V6" s="44"/>
      <c r="Y6" s="51"/>
      <c r="Z6" s="210" t="str">
        <f t="shared" si="0"/>
        <v>NA</v>
      </c>
      <c r="AB6" s="211"/>
      <c r="AC6" s="211"/>
    </row>
    <row r="7" spans="7:29" ht="12.75">
      <c r="G7" s="5" t="s">
        <v>54</v>
      </c>
      <c r="I7" s="7" t="s">
        <v>55</v>
      </c>
      <c r="K7" s="7" t="s">
        <v>56</v>
      </c>
      <c r="L7" s="23"/>
      <c r="M7" s="23"/>
      <c r="N7" s="23"/>
      <c r="O7" s="12"/>
      <c r="P7" s="24"/>
      <c r="Q7" s="23"/>
      <c r="R7" s="23"/>
      <c r="S7" s="24"/>
      <c r="T7" s="26"/>
      <c r="U7" s="12"/>
      <c r="Y7" s="15"/>
      <c r="Z7" s="210">
        <f t="shared" si="0"/>
        <v>0</v>
      </c>
      <c r="AB7" s="211"/>
      <c r="AC7" s="211"/>
    </row>
    <row r="8" spans="1:29" ht="12.75">
      <c r="A8" s="27"/>
      <c r="B8" s="28"/>
      <c r="C8" s="29"/>
      <c r="D8" s="30"/>
      <c r="E8" s="30"/>
      <c r="F8" s="30"/>
      <c r="G8" s="31" t="s">
        <v>57</v>
      </c>
      <c r="H8" s="52"/>
      <c r="I8" s="32"/>
      <c r="J8" s="32"/>
      <c r="K8" s="32"/>
      <c r="L8" s="33"/>
      <c r="M8" s="33"/>
      <c r="N8" s="33"/>
      <c r="O8" s="34"/>
      <c r="P8" s="35"/>
      <c r="Q8" s="33"/>
      <c r="R8" s="33"/>
      <c r="S8" s="35"/>
      <c r="T8" s="36"/>
      <c r="U8" s="34"/>
      <c r="V8" s="32"/>
      <c r="W8" s="32"/>
      <c r="X8" s="32"/>
      <c r="Y8" s="37"/>
      <c r="Z8" s="210">
        <f t="shared" si="0"/>
        <v>0</v>
      </c>
      <c r="AB8" s="211"/>
      <c r="AC8" s="211"/>
    </row>
    <row r="9" spans="1:30" ht="12.75">
      <c r="A9" s="53" t="s">
        <v>58</v>
      </c>
      <c r="B9" s="54"/>
      <c r="C9" s="55" t="s">
        <v>59</v>
      </c>
      <c r="D9" s="56" t="s">
        <v>60</v>
      </c>
      <c r="E9" s="56"/>
      <c r="F9" s="56"/>
      <c r="G9" s="57" t="s">
        <v>61</v>
      </c>
      <c r="H9" s="58"/>
      <c r="I9" s="59"/>
      <c r="J9" s="59"/>
      <c r="K9" s="59"/>
      <c r="L9" s="60"/>
      <c r="M9" s="60"/>
      <c r="N9" s="60"/>
      <c r="O9" s="61"/>
      <c r="P9" s="62"/>
      <c r="Q9" s="63"/>
      <c r="R9" s="60"/>
      <c r="S9" s="62"/>
      <c r="T9" s="64"/>
      <c r="U9" s="61"/>
      <c r="V9" s="65">
        <f>285/5</f>
        <v>57</v>
      </c>
      <c r="W9" s="32"/>
      <c r="X9" s="32"/>
      <c r="Y9" s="37"/>
      <c r="Z9" s="210">
        <f t="shared" si="0"/>
        <v>0</v>
      </c>
      <c r="AA9" s="212"/>
      <c r="AB9" s="211"/>
      <c r="AC9" s="213"/>
      <c r="AD9" s="212"/>
    </row>
    <row r="10" spans="1:29" ht="14.25" customHeight="1">
      <c r="A10" s="38" t="s">
        <v>62</v>
      </c>
      <c r="B10" s="39" t="s">
        <v>43</v>
      </c>
      <c r="C10" s="40" t="s">
        <v>63</v>
      </c>
      <c r="D10" s="41" t="s">
        <v>64</v>
      </c>
      <c r="E10" s="41" t="s">
        <v>65</v>
      </c>
      <c r="F10" s="41" t="s">
        <v>66</v>
      </c>
      <c r="G10" s="42" t="s">
        <v>67</v>
      </c>
      <c r="H10" s="6">
        <v>5307690</v>
      </c>
      <c r="I10" s="41">
        <v>7</v>
      </c>
      <c r="J10" s="41">
        <v>2</v>
      </c>
      <c r="K10" s="41">
        <v>70</v>
      </c>
      <c r="L10" s="46" t="s">
        <v>68</v>
      </c>
      <c r="M10" s="46" t="s">
        <v>69</v>
      </c>
      <c r="N10" s="46" t="s">
        <v>70</v>
      </c>
      <c r="O10" s="48"/>
      <c r="P10" s="49">
        <v>1.14</v>
      </c>
      <c r="Q10" s="46">
        <f aca="true" t="shared" si="2" ref="Q10:Q15">EXP(LN(P10)*(I10-J10)/10)</f>
        <v>1.0677078252031311</v>
      </c>
      <c r="R10" s="46">
        <f aca="true" t="shared" si="3" ref="R10:R15">(Q10-1)/Q10</f>
        <v>0.06341418841830604</v>
      </c>
      <c r="S10" s="49">
        <f>1533+672</f>
        <v>2205</v>
      </c>
      <c r="T10" s="66">
        <f aca="true" t="shared" si="4" ref="T10:T15">R10*S10</f>
        <v>139.82828546236482</v>
      </c>
      <c r="U10" s="48"/>
      <c r="V10" s="44"/>
      <c r="Y10" s="51"/>
      <c r="Z10" s="210">
        <f t="shared" si="0"/>
        <v>139.82828546236482</v>
      </c>
      <c r="AB10" s="211">
        <f t="shared" si="1"/>
        <v>0.0018441129723788573</v>
      </c>
      <c r="AC10" s="211"/>
    </row>
    <row r="11" spans="2:29" ht="12" customHeight="1">
      <c r="B11" s="67"/>
      <c r="G11" s="5" t="s">
        <v>71</v>
      </c>
      <c r="H11" s="6">
        <f>H10</f>
        <v>5307690</v>
      </c>
      <c r="I11" s="7">
        <v>6</v>
      </c>
      <c r="J11" s="4">
        <v>2</v>
      </c>
      <c r="K11" s="7">
        <v>70</v>
      </c>
      <c r="L11" s="23" t="s">
        <v>72</v>
      </c>
      <c r="M11" s="23" t="s">
        <v>73</v>
      </c>
      <c r="N11" s="23" t="s">
        <v>74</v>
      </c>
      <c r="O11" s="12"/>
      <c r="P11" s="24">
        <v>1.04</v>
      </c>
      <c r="Q11" s="23">
        <f t="shared" si="2"/>
        <v>1.0158119924799414</v>
      </c>
      <c r="R11" s="23">
        <f t="shared" si="3"/>
        <v>0.015565865137444311</v>
      </c>
      <c r="S11" s="24">
        <f>1422+604</f>
        <v>2026</v>
      </c>
      <c r="T11" s="26">
        <f t="shared" si="4"/>
        <v>31.536442768462173</v>
      </c>
      <c r="U11" s="12"/>
      <c r="Y11" s="15"/>
      <c r="Z11" s="210">
        <f t="shared" si="0"/>
        <v>31.536442768462173</v>
      </c>
      <c r="AB11" s="211">
        <f t="shared" si="1"/>
        <v>0.00041591558546040785</v>
      </c>
      <c r="AC11" s="211"/>
    </row>
    <row r="12" spans="2:29" ht="12" customHeight="1">
      <c r="B12" s="67"/>
      <c r="G12" s="5" t="s">
        <v>75</v>
      </c>
      <c r="H12" s="6">
        <f>H10</f>
        <v>5307690</v>
      </c>
      <c r="I12" s="7">
        <v>8</v>
      </c>
      <c r="J12" s="4">
        <v>2</v>
      </c>
      <c r="K12" s="7">
        <v>70</v>
      </c>
      <c r="L12" s="23" t="s">
        <v>76</v>
      </c>
      <c r="M12" s="23" t="s">
        <v>77</v>
      </c>
      <c r="N12" s="23" t="s">
        <v>78</v>
      </c>
      <c r="O12" s="12"/>
      <c r="P12" s="24">
        <v>1.23</v>
      </c>
      <c r="Q12" s="23">
        <f t="shared" si="2"/>
        <v>1.1322519227618721</v>
      </c>
      <c r="R12" s="23">
        <f t="shared" si="3"/>
        <v>0.11680432605428792</v>
      </c>
      <c r="S12" s="24">
        <f>1645+741</f>
        <v>2386</v>
      </c>
      <c r="T12" s="26">
        <f t="shared" si="4"/>
        <v>278.695121965531</v>
      </c>
      <c r="U12" s="12"/>
      <c r="Y12" s="15"/>
      <c r="Z12" s="210">
        <f t="shared" si="0"/>
        <v>278.695121965531</v>
      </c>
      <c r="AB12" s="211">
        <f t="shared" si="1"/>
        <v>0.0036755459602175653</v>
      </c>
      <c r="AC12" s="211"/>
    </row>
    <row r="13" spans="2:28" ht="12" customHeight="1">
      <c r="B13" s="67"/>
      <c r="C13" s="3" t="s">
        <v>79</v>
      </c>
      <c r="D13" s="68" t="s">
        <v>80</v>
      </c>
      <c r="E13" s="68" t="s">
        <v>81</v>
      </c>
      <c r="F13" s="68" t="s">
        <v>82</v>
      </c>
      <c r="G13" s="22" t="s">
        <v>83</v>
      </c>
      <c r="H13" s="6">
        <f>H10</f>
        <v>5307690</v>
      </c>
      <c r="I13" s="69">
        <v>7</v>
      </c>
      <c r="J13" s="4">
        <v>2</v>
      </c>
      <c r="K13" s="69">
        <v>70</v>
      </c>
      <c r="L13" s="23" t="s">
        <v>84</v>
      </c>
      <c r="M13" s="23" t="s">
        <v>85</v>
      </c>
      <c r="N13" s="23" t="s">
        <v>86</v>
      </c>
      <c r="O13" s="12"/>
      <c r="P13" s="24">
        <v>1.09</v>
      </c>
      <c r="Q13" s="23">
        <f t="shared" si="2"/>
        <v>1.044030650891055</v>
      </c>
      <c r="R13" s="23">
        <f t="shared" si="3"/>
        <v>0.04217371477884865</v>
      </c>
      <c r="S13" s="70">
        <f>(135+318+3442+3269+2830+3189+847+1101+1787+3051+110+183)+(1096+1296+10+19+816+341)</f>
        <v>23840</v>
      </c>
      <c r="T13" s="25">
        <f t="shared" si="4"/>
        <v>1005.4213603277519</v>
      </c>
      <c r="U13" s="12"/>
      <c r="Y13" s="15"/>
      <c r="Z13" s="210">
        <f t="shared" si="0"/>
        <v>1005.4213603277519</v>
      </c>
      <c r="AB13" s="211">
        <f t="shared" si="1"/>
        <v>0.013259910662254699</v>
      </c>
    </row>
    <row r="14" spans="2:28" ht="12" customHeight="1">
      <c r="B14" s="67"/>
      <c r="D14" s="68"/>
      <c r="E14" s="68"/>
      <c r="F14" s="68"/>
      <c r="G14" s="5" t="s">
        <v>87</v>
      </c>
      <c r="H14" s="6">
        <f>H11</f>
        <v>5307690</v>
      </c>
      <c r="I14" s="69">
        <v>6</v>
      </c>
      <c r="J14" s="4">
        <v>2</v>
      </c>
      <c r="K14" s="69">
        <v>70</v>
      </c>
      <c r="L14" s="23" t="s">
        <v>88</v>
      </c>
      <c r="M14" s="23" t="s">
        <v>89</v>
      </c>
      <c r="N14" s="23" t="s">
        <v>90</v>
      </c>
      <c r="O14" s="12"/>
      <c r="P14" s="24">
        <v>1.03</v>
      </c>
      <c r="Q14" s="23">
        <f t="shared" si="2"/>
        <v>1.0118936950154855</v>
      </c>
      <c r="R14" s="23">
        <f t="shared" si="3"/>
        <v>0.01175389774051663</v>
      </c>
      <c r="S14" s="70">
        <f>S13</f>
        <v>23840</v>
      </c>
      <c r="T14" s="26">
        <f t="shared" si="4"/>
        <v>280.21292213391644</v>
      </c>
      <c r="U14" s="12"/>
      <c r="Y14" s="15"/>
      <c r="Z14" s="210">
        <f t="shared" si="0"/>
        <v>280.21292213391644</v>
      </c>
      <c r="AB14" s="211">
        <f t="shared" si="1"/>
        <v>0.0036955633334603472</v>
      </c>
    </row>
    <row r="15" spans="1:28" ht="12" customHeight="1">
      <c r="A15" s="27"/>
      <c r="B15" s="71"/>
      <c r="C15" s="29"/>
      <c r="D15" s="72"/>
      <c r="E15" s="72"/>
      <c r="F15" s="72"/>
      <c r="G15" s="31" t="s">
        <v>91</v>
      </c>
      <c r="H15" s="52">
        <f>H10</f>
        <v>5307690</v>
      </c>
      <c r="I15" s="32">
        <v>8</v>
      </c>
      <c r="J15" s="30">
        <v>2</v>
      </c>
      <c r="K15" s="32">
        <v>70</v>
      </c>
      <c r="L15" s="33" t="s">
        <v>92</v>
      </c>
      <c r="M15" s="33" t="s">
        <v>93</v>
      </c>
      <c r="N15" s="33" t="s">
        <v>94</v>
      </c>
      <c r="O15" s="34"/>
      <c r="P15" s="35">
        <v>1.16</v>
      </c>
      <c r="Q15" s="33">
        <f t="shared" si="2"/>
        <v>1.0931375013553157</v>
      </c>
      <c r="R15" s="33">
        <f t="shared" si="3"/>
        <v>0.08520199996783581</v>
      </c>
      <c r="S15" s="73">
        <f>S13</f>
        <v>23840</v>
      </c>
      <c r="T15" s="36">
        <f t="shared" si="4"/>
        <v>2031.2156792332057</v>
      </c>
      <c r="U15" s="34"/>
      <c r="V15" s="32"/>
      <c r="W15" s="32"/>
      <c r="X15" s="32"/>
      <c r="Y15" s="37"/>
      <c r="Z15" s="210">
        <f t="shared" si="0"/>
        <v>2031.2156792332057</v>
      </c>
      <c r="AB15" s="211">
        <f t="shared" si="1"/>
        <v>0.026788508286340083</v>
      </c>
    </row>
    <row r="16" spans="1:28" ht="13.5" customHeight="1">
      <c r="A16" s="1" t="s">
        <v>95</v>
      </c>
      <c r="B16" s="67" t="s">
        <v>96</v>
      </c>
      <c r="C16" s="74" t="s">
        <v>97</v>
      </c>
      <c r="D16" s="4" t="s">
        <v>98</v>
      </c>
      <c r="E16" s="68" t="s">
        <v>99</v>
      </c>
      <c r="F16" s="68" t="s">
        <v>100</v>
      </c>
      <c r="G16" s="22" t="s">
        <v>101</v>
      </c>
      <c r="H16" s="6">
        <f>5307690*0.95</f>
        <v>5042305.5</v>
      </c>
      <c r="I16" s="8">
        <f>((627.2+458.2)/1000)/0.82*2</f>
        <v>2.6473170731707323</v>
      </c>
      <c r="J16" s="69">
        <v>0</v>
      </c>
      <c r="K16" s="7">
        <v>70</v>
      </c>
      <c r="L16" s="75">
        <f>dioxin!T11*156000*0.000000001</f>
        <v>3.217987176418379E-05</v>
      </c>
      <c r="M16" s="76">
        <f>(I16-J16)*(K16/70)*L16</f>
        <v>8.519032393376851E-05</v>
      </c>
      <c r="N16" s="77">
        <f>M16*H16/70</f>
        <v>6.136509127400323</v>
      </c>
      <c r="O16" s="12"/>
      <c r="P16" s="26" t="s">
        <v>102</v>
      </c>
      <c r="Q16" s="23" t="s">
        <v>103</v>
      </c>
      <c r="R16" s="23" t="s">
        <v>104</v>
      </c>
      <c r="S16" s="24">
        <v>10523</v>
      </c>
      <c r="T16" s="78" t="s">
        <v>105</v>
      </c>
      <c r="U16" s="12"/>
      <c r="Y16" s="15"/>
      <c r="Z16" s="210" t="str">
        <f t="shared" si="0"/>
        <v>NA</v>
      </c>
      <c r="AB16" s="211"/>
    </row>
    <row r="17" spans="2:28" ht="12.75" customHeight="1">
      <c r="B17" s="67"/>
      <c r="C17" s="74"/>
      <c r="E17" s="68"/>
      <c r="F17" s="68"/>
      <c r="G17" s="5" t="s">
        <v>106</v>
      </c>
      <c r="H17" s="6">
        <f>5307690*0.95</f>
        <v>5042305.5</v>
      </c>
      <c r="I17" s="8">
        <f>((342+242)/1000)/0.82*2</f>
        <v>1.424390243902439</v>
      </c>
      <c r="J17" s="69">
        <v>0</v>
      </c>
      <c r="K17" s="7">
        <v>70</v>
      </c>
      <c r="L17" s="75">
        <f>L16*dioxin!C39</f>
        <v>4.153766389946057E-06</v>
      </c>
      <c r="M17" s="76">
        <f>(I17-J17)*(K17/70)*L17</f>
        <v>5.916584321289017E-06</v>
      </c>
      <c r="N17" s="23">
        <f>M17*H17/70</f>
        <v>0.42618893806356256</v>
      </c>
      <c r="O17" s="12"/>
      <c r="P17" s="26" t="s">
        <v>107</v>
      </c>
      <c r="Q17" s="23" t="s">
        <v>108</v>
      </c>
      <c r="R17" s="23" t="s">
        <v>109</v>
      </c>
      <c r="S17" s="24">
        <v>10523</v>
      </c>
      <c r="T17" s="76" t="s">
        <v>110</v>
      </c>
      <c r="U17" s="12"/>
      <c r="Y17" s="15"/>
      <c r="Z17" s="210" t="str">
        <f t="shared" si="0"/>
        <v>NA</v>
      </c>
      <c r="AB17" s="211"/>
    </row>
    <row r="18" spans="2:28" ht="12.75">
      <c r="B18" s="67"/>
      <c r="C18" s="74"/>
      <c r="E18" s="68"/>
      <c r="F18" s="68"/>
      <c r="G18" s="5" t="s">
        <v>111</v>
      </c>
      <c r="H18" s="6">
        <f>5307690*0.95</f>
        <v>5042305.5</v>
      </c>
      <c r="I18" s="8">
        <f>((936.8+658)/1000)/0.82*2</f>
        <v>3.889756097560976</v>
      </c>
      <c r="J18" s="69">
        <v>0</v>
      </c>
      <c r="K18" s="7">
        <v>70</v>
      </c>
      <c r="L18" s="79">
        <f>156000*0.000000001</f>
        <v>0.000156</v>
      </c>
      <c r="M18" s="76">
        <f>(I18-J18)*(K18/70)*L18</f>
        <v>0.0006068019512195122</v>
      </c>
      <c r="N18" s="23">
        <f>M18*H18/70</f>
        <v>43.709725943498256</v>
      </c>
      <c r="O18" s="12"/>
      <c r="P18" s="24" t="s">
        <v>112</v>
      </c>
      <c r="Q18" s="23" t="s">
        <v>113</v>
      </c>
      <c r="R18" s="23" t="s">
        <v>114</v>
      </c>
      <c r="S18" s="24">
        <v>10523</v>
      </c>
      <c r="T18" s="76" t="s">
        <v>115</v>
      </c>
      <c r="U18" s="12"/>
      <c r="Y18" s="15"/>
      <c r="Z18" s="210" t="str">
        <f t="shared" si="0"/>
        <v>NA</v>
      </c>
      <c r="AB18" s="211"/>
    </row>
    <row r="19" spans="1:28" ht="12.75">
      <c r="A19" s="27"/>
      <c r="B19" s="71"/>
      <c r="C19" s="80" t="s">
        <v>116</v>
      </c>
      <c r="D19" s="72" t="s">
        <v>117</v>
      </c>
      <c r="E19" s="72" t="s">
        <v>118</v>
      </c>
      <c r="F19" s="72" t="s">
        <v>119</v>
      </c>
      <c r="G19" s="81" t="s">
        <v>120</v>
      </c>
      <c r="H19" s="52">
        <f>(58729*9/12)+58729-(58729)*2.7/1000*0.5</f>
        <v>102696.46585</v>
      </c>
      <c r="I19" s="82">
        <f>I16</f>
        <v>2.6473170731707323</v>
      </c>
      <c r="J19" s="32">
        <v>0</v>
      </c>
      <c r="K19" s="32">
        <v>1.25</v>
      </c>
      <c r="L19" s="33" t="s">
        <v>121</v>
      </c>
      <c r="M19" s="33" t="s">
        <v>122</v>
      </c>
      <c r="N19" s="83" t="s">
        <v>123</v>
      </c>
      <c r="O19" s="34"/>
      <c r="P19" s="35" t="s">
        <v>124</v>
      </c>
      <c r="Q19" s="33"/>
      <c r="R19" s="33"/>
      <c r="S19" s="35" t="s">
        <v>125</v>
      </c>
      <c r="T19" s="36"/>
      <c r="U19" s="34"/>
      <c r="V19" s="32"/>
      <c r="W19" s="32"/>
      <c r="X19" s="32"/>
      <c r="Y19" s="37"/>
      <c r="Z19" s="210">
        <f t="shared" si="0"/>
        <v>0</v>
      </c>
      <c r="AB19" s="211">
        <f t="shared" si="1"/>
        <v>0</v>
      </c>
    </row>
    <row r="20" spans="1:28" ht="25.5">
      <c r="A20" s="1" t="s">
        <v>126</v>
      </c>
      <c r="B20" s="67" t="s">
        <v>127</v>
      </c>
      <c r="C20" s="74" t="s">
        <v>128</v>
      </c>
      <c r="D20" s="68" t="s">
        <v>129</v>
      </c>
      <c r="E20" s="68" t="s">
        <v>130</v>
      </c>
      <c r="F20" s="68" t="s">
        <v>131</v>
      </c>
      <c r="G20" s="22" t="s">
        <v>132</v>
      </c>
      <c r="H20" s="6">
        <f>(58729*0.95)</f>
        <v>55792.549999999996</v>
      </c>
      <c r="I20" s="84">
        <f>0.000039/0.72</f>
        <v>5.416666666666667E-05</v>
      </c>
      <c r="J20" s="69">
        <v>0</v>
      </c>
      <c r="K20" s="69">
        <v>1</v>
      </c>
      <c r="L20" s="23" t="s">
        <v>133</v>
      </c>
      <c r="M20" s="23" t="s">
        <v>134</v>
      </c>
      <c r="N20" s="23" t="s">
        <v>135</v>
      </c>
      <c r="O20" s="12"/>
      <c r="P20" s="85">
        <f>0.8007*250*70*0.2329</f>
        <v>3263.4530249999993</v>
      </c>
      <c r="Q20" s="23" t="s">
        <v>136</v>
      </c>
      <c r="R20" s="23" t="s">
        <v>137</v>
      </c>
      <c r="S20" s="24" t="s">
        <v>138</v>
      </c>
      <c r="T20" s="86">
        <f>I20*P20*H20</f>
        <v>9862.4698287897</v>
      </c>
      <c r="U20" s="12"/>
      <c r="Y20" s="15"/>
      <c r="Z20" s="210">
        <f t="shared" si="0"/>
        <v>9862.4698287897</v>
      </c>
      <c r="AB20" s="211">
        <f t="shared" si="1"/>
        <v>12.373926053124999</v>
      </c>
    </row>
    <row r="21" spans="2:28" ht="12.75">
      <c r="B21" s="67"/>
      <c r="C21" s="74"/>
      <c r="D21" s="68"/>
      <c r="E21" s="68"/>
      <c r="F21" s="68"/>
      <c r="G21" s="5" t="s">
        <v>139</v>
      </c>
      <c r="H21" s="6">
        <f>H20</f>
        <v>55792.549999999996</v>
      </c>
      <c r="I21" s="84">
        <f>0.000019*0.72</f>
        <v>1.368E-05</v>
      </c>
      <c r="J21" s="69">
        <v>0</v>
      </c>
      <c r="K21" s="69">
        <v>1</v>
      </c>
      <c r="L21" s="23" t="s">
        <v>140</v>
      </c>
      <c r="M21" s="23" t="s">
        <v>141</v>
      </c>
      <c r="N21" s="23" t="s">
        <v>142</v>
      </c>
      <c r="O21" s="12"/>
      <c r="P21" s="85">
        <f>0.8007*70*250*0.1988</f>
        <v>2785.6353</v>
      </c>
      <c r="Q21" s="23" t="s">
        <v>143</v>
      </c>
      <c r="R21" s="23" t="s">
        <v>144</v>
      </c>
      <c r="S21" s="24" t="s">
        <v>145</v>
      </c>
      <c r="T21" s="86">
        <f>I21*P21*H21</f>
        <v>2126.114091635965</v>
      </c>
      <c r="U21" s="12"/>
      <c r="Y21" s="15"/>
      <c r="Z21" s="210">
        <f t="shared" si="0"/>
        <v>2126.114091635965</v>
      </c>
      <c r="AB21" s="211">
        <f t="shared" si="1"/>
        <v>2.6675243632799996</v>
      </c>
    </row>
    <row r="22" spans="2:28" ht="12.75">
      <c r="B22" s="67"/>
      <c r="C22" s="74"/>
      <c r="D22" s="68"/>
      <c r="E22" s="68"/>
      <c r="F22" s="68"/>
      <c r="G22" s="5" t="s">
        <v>146</v>
      </c>
      <c r="H22" s="6">
        <f>H20</f>
        <v>55792.549999999996</v>
      </c>
      <c r="I22" s="84">
        <f>0.000073*0.72</f>
        <v>5.256E-05</v>
      </c>
      <c r="J22" s="69">
        <v>0</v>
      </c>
      <c r="K22" s="69">
        <v>1</v>
      </c>
      <c r="L22" s="23" t="s">
        <v>147</v>
      </c>
      <c r="M22" s="23" t="s">
        <v>148</v>
      </c>
      <c r="N22" s="23" t="s">
        <v>149</v>
      </c>
      <c r="O22" s="12"/>
      <c r="P22" s="85">
        <f>0.8007*70*250*0.7333</f>
        <v>10275.182925</v>
      </c>
      <c r="Q22" s="23" t="s">
        <v>150</v>
      </c>
      <c r="R22" s="23" t="s">
        <v>151</v>
      </c>
      <c r="S22" s="24" t="s">
        <v>152</v>
      </c>
      <c r="T22" s="77">
        <f>I22*P22*H22</f>
        <v>30131.526217292085</v>
      </c>
      <c r="U22" s="12"/>
      <c r="Y22" s="15"/>
      <c r="Z22" s="210">
        <f t="shared" si="0"/>
        <v>30131.526217292085</v>
      </c>
      <c r="AB22" s="211">
        <f t="shared" si="1"/>
        <v>37.804453017659995</v>
      </c>
    </row>
    <row r="23" spans="2:28" ht="12.75">
      <c r="B23" s="67"/>
      <c r="C23" s="87" t="s">
        <v>153</v>
      </c>
      <c r="D23" s="88" t="s">
        <v>154</v>
      </c>
      <c r="E23" s="88" t="s">
        <v>155</v>
      </c>
      <c r="F23" s="88" t="s">
        <v>156</v>
      </c>
      <c r="G23" s="89" t="s">
        <v>157</v>
      </c>
      <c r="H23" s="90"/>
      <c r="I23" s="91"/>
      <c r="J23" s="91"/>
      <c r="K23" s="91"/>
      <c r="L23" s="92"/>
      <c r="M23" s="92"/>
      <c r="N23" s="92"/>
      <c r="O23" s="93"/>
      <c r="P23" s="91"/>
      <c r="Q23" s="91"/>
      <c r="R23" s="91"/>
      <c r="S23" s="91"/>
      <c r="T23" s="91"/>
      <c r="U23" s="93"/>
      <c r="V23" s="91"/>
      <c r="Y23" s="94"/>
      <c r="Z23" s="210">
        <f t="shared" si="0"/>
        <v>0</v>
      </c>
      <c r="AB23" s="211"/>
    </row>
    <row r="24" spans="1:28" ht="13.5" customHeight="1">
      <c r="A24" s="95"/>
      <c r="B24" s="96"/>
      <c r="C24" s="97" t="s">
        <v>158</v>
      </c>
      <c r="D24" s="98" t="s">
        <v>159</v>
      </c>
      <c r="E24" s="98" t="s">
        <v>160</v>
      </c>
      <c r="F24" s="98" t="s">
        <v>161</v>
      </c>
      <c r="G24" s="99" t="s">
        <v>162</v>
      </c>
      <c r="H24" s="100"/>
      <c r="I24" s="101"/>
      <c r="J24" s="101"/>
      <c r="K24" s="101"/>
      <c r="L24" s="102"/>
      <c r="M24" s="102"/>
      <c r="N24" s="102"/>
      <c r="O24" s="103"/>
      <c r="P24" s="101"/>
      <c r="Q24" s="101"/>
      <c r="R24" s="101"/>
      <c r="S24" s="101"/>
      <c r="T24" s="101"/>
      <c r="U24" s="103"/>
      <c r="V24" s="101"/>
      <c r="W24" s="32"/>
      <c r="X24" s="32"/>
      <c r="Y24" s="37"/>
      <c r="Z24" s="210">
        <f t="shared" si="0"/>
        <v>0</v>
      </c>
      <c r="AB24" s="211"/>
    </row>
    <row r="25" spans="1:28" ht="13.5" customHeight="1">
      <c r="A25" s="1" t="s">
        <v>163</v>
      </c>
      <c r="B25" s="67" t="s">
        <v>164</v>
      </c>
      <c r="C25" s="74" t="s">
        <v>165</v>
      </c>
      <c r="D25" s="4" t="s">
        <v>166</v>
      </c>
      <c r="E25" s="104" t="s">
        <v>167</v>
      </c>
      <c r="F25" s="68" t="s">
        <v>168</v>
      </c>
      <c r="G25" s="22" t="s">
        <v>169</v>
      </c>
      <c r="H25" s="6">
        <v>2300000</v>
      </c>
      <c r="I25" s="105">
        <v>8.3125</v>
      </c>
      <c r="J25" s="69">
        <v>0</v>
      </c>
      <c r="K25" s="69">
        <v>70</v>
      </c>
      <c r="L25" s="23" t="s">
        <v>170</v>
      </c>
      <c r="M25" s="23" t="s">
        <v>171</v>
      </c>
      <c r="N25" s="106"/>
      <c r="O25" s="12"/>
      <c r="P25" s="23">
        <v>1.18</v>
      </c>
      <c r="Q25" s="23">
        <f aca="true" t="shared" si="5" ref="Q25:Q30">EXP((LN(P25)/1000)*(I25-J25))</f>
        <v>1.001376785670216</v>
      </c>
      <c r="R25" s="24">
        <f aca="true" t="shared" si="6" ref="R25:R30">(Q25-1)/Q25</f>
        <v>0.0013748927375968334</v>
      </c>
      <c r="S25" s="24">
        <v>821</v>
      </c>
      <c r="T25" s="107">
        <f aca="true" t="shared" si="7" ref="T25:T30">R25*S25</f>
        <v>1.1287869375670003</v>
      </c>
      <c r="U25" s="12"/>
      <c r="V25" s="108">
        <v>881</v>
      </c>
      <c r="W25" s="109">
        <f>614+207</f>
        <v>821</v>
      </c>
      <c r="X25" s="109">
        <f>159+172</f>
        <v>331</v>
      </c>
      <c r="Y25" s="15"/>
      <c r="Z25" s="210">
        <f t="shared" si="0"/>
        <v>1.1287869375670003</v>
      </c>
      <c r="AB25" s="211">
        <f t="shared" si="1"/>
        <v>3.4354385056386966E-05</v>
      </c>
    </row>
    <row r="26" spans="2:28" ht="13.5" customHeight="1">
      <c r="B26" s="110"/>
      <c r="C26" s="74"/>
      <c r="E26" s="104"/>
      <c r="F26" s="68"/>
      <c r="G26" s="104" t="s">
        <v>172</v>
      </c>
      <c r="H26" s="6">
        <v>2300000</v>
      </c>
      <c r="I26" s="105">
        <v>0</v>
      </c>
      <c r="J26" s="69">
        <v>0</v>
      </c>
      <c r="K26" s="69">
        <v>70</v>
      </c>
      <c r="L26" s="23" t="s">
        <v>173</v>
      </c>
      <c r="M26" s="23" t="s">
        <v>174</v>
      </c>
      <c r="N26" s="106" t="s">
        <v>175</v>
      </c>
      <c r="O26" s="12"/>
      <c r="P26" s="24">
        <v>1.1</v>
      </c>
      <c r="Q26" s="23">
        <f t="shared" si="5"/>
        <v>1</v>
      </c>
      <c r="R26" s="24">
        <f t="shared" si="6"/>
        <v>0</v>
      </c>
      <c r="S26" s="24">
        <v>821</v>
      </c>
      <c r="T26" s="111">
        <f t="shared" si="7"/>
        <v>0</v>
      </c>
      <c r="U26" s="12"/>
      <c r="V26" s="108"/>
      <c r="W26" s="109"/>
      <c r="X26" s="109"/>
      <c r="Y26" s="15"/>
      <c r="Z26" s="210">
        <f t="shared" si="0"/>
        <v>0</v>
      </c>
      <c r="AB26" s="211">
        <f t="shared" si="1"/>
        <v>0</v>
      </c>
    </row>
    <row r="27" spans="2:28" ht="13.5" customHeight="1">
      <c r="B27" s="110"/>
      <c r="C27" s="74"/>
      <c r="E27" s="104"/>
      <c r="F27" s="68"/>
      <c r="G27" s="104" t="s">
        <v>176</v>
      </c>
      <c r="H27" s="6">
        <v>2300000</v>
      </c>
      <c r="I27" s="105">
        <v>34.1</v>
      </c>
      <c r="J27" s="69">
        <v>0</v>
      </c>
      <c r="K27" s="69">
        <v>70</v>
      </c>
      <c r="L27" s="23" t="s">
        <v>177</v>
      </c>
      <c r="M27" s="23" t="s">
        <v>178</v>
      </c>
      <c r="N27" s="106" t="s">
        <v>179</v>
      </c>
      <c r="O27" s="12"/>
      <c r="P27" s="24">
        <v>1.27</v>
      </c>
      <c r="Q27" s="23">
        <f t="shared" si="5"/>
        <v>1.0081837818619415</v>
      </c>
      <c r="R27" s="24">
        <f t="shared" si="6"/>
        <v>0.008117351230176933</v>
      </c>
      <c r="S27" s="24">
        <v>821</v>
      </c>
      <c r="T27" s="111">
        <f t="shared" si="7"/>
        <v>6.664345359975262</v>
      </c>
      <c r="U27" s="12"/>
      <c r="V27" s="108"/>
      <c r="W27" s="109"/>
      <c r="X27" s="109"/>
      <c r="Y27" s="15"/>
      <c r="Z27" s="210">
        <f t="shared" si="0"/>
        <v>6.664345359975262</v>
      </c>
      <c r="AB27" s="211">
        <f t="shared" si="1"/>
        <v>0.00020282790226011668</v>
      </c>
    </row>
    <row r="28" spans="2:28" ht="13.5" customHeight="1">
      <c r="B28" s="110"/>
      <c r="C28" s="3" t="s">
        <v>180</v>
      </c>
      <c r="D28" s="4" t="s">
        <v>181</v>
      </c>
      <c r="E28" s="104" t="s">
        <v>182</v>
      </c>
      <c r="F28" s="68" t="s">
        <v>183</v>
      </c>
      <c r="G28" s="22" t="s">
        <v>184</v>
      </c>
      <c r="H28" s="6">
        <v>2300000</v>
      </c>
      <c r="I28" s="105">
        <f>I25</f>
        <v>8.3125</v>
      </c>
      <c r="J28" s="69">
        <v>0</v>
      </c>
      <c r="K28" s="69">
        <v>70</v>
      </c>
      <c r="L28" s="23" t="s">
        <v>185</v>
      </c>
      <c r="M28" s="23" t="s">
        <v>186</v>
      </c>
      <c r="N28" s="106"/>
      <c r="O28" s="12"/>
      <c r="P28" s="7">
        <v>1.37</v>
      </c>
      <c r="Q28" s="23">
        <f t="shared" si="5"/>
        <v>1.002620291252897</v>
      </c>
      <c r="R28" s="24">
        <f t="shared" si="6"/>
        <v>0.002613443270355722</v>
      </c>
      <c r="S28" s="24">
        <v>764</v>
      </c>
      <c r="T28" s="107">
        <f t="shared" si="7"/>
        <v>1.9966706585517717</v>
      </c>
      <c r="U28" s="12"/>
      <c r="V28" s="108">
        <v>806</v>
      </c>
      <c r="W28" s="109">
        <f>340+424</f>
        <v>764</v>
      </c>
      <c r="X28" s="109">
        <f>75+184</f>
        <v>259</v>
      </c>
      <c r="Y28" s="15"/>
      <c r="Z28" s="210">
        <f t="shared" si="0"/>
        <v>1.9966706585517717</v>
      </c>
      <c r="AB28" s="211">
        <f t="shared" si="1"/>
        <v>6.076823743418436E-05</v>
      </c>
    </row>
    <row r="29" spans="2:28" ht="12.75">
      <c r="B29" s="110"/>
      <c r="E29" s="104"/>
      <c r="F29" s="68"/>
      <c r="G29" s="104" t="s">
        <v>187</v>
      </c>
      <c r="H29" s="6">
        <v>2300000</v>
      </c>
      <c r="I29" s="105">
        <f>I26</f>
        <v>0</v>
      </c>
      <c r="J29" s="69">
        <v>0</v>
      </c>
      <c r="K29" s="69">
        <v>70</v>
      </c>
      <c r="L29" s="23" t="s">
        <v>188</v>
      </c>
      <c r="M29" s="23" t="s">
        <v>189</v>
      </c>
      <c r="N29" s="23" t="s">
        <v>190</v>
      </c>
      <c r="O29" s="12"/>
      <c r="P29" s="111">
        <v>1.27</v>
      </c>
      <c r="Q29" s="23">
        <f t="shared" si="5"/>
        <v>1</v>
      </c>
      <c r="R29" s="24">
        <f t="shared" si="6"/>
        <v>0</v>
      </c>
      <c r="S29" s="24">
        <v>764</v>
      </c>
      <c r="T29" s="111">
        <f t="shared" si="7"/>
        <v>0</v>
      </c>
      <c r="U29" s="12"/>
      <c r="Y29" s="15"/>
      <c r="Z29" s="210">
        <f t="shared" si="0"/>
        <v>0</v>
      </c>
      <c r="AB29" s="211">
        <f t="shared" si="1"/>
        <v>0</v>
      </c>
    </row>
    <row r="30" spans="1:28" ht="12.75">
      <c r="A30" s="27"/>
      <c r="B30" s="112"/>
      <c r="C30" s="29"/>
      <c r="D30" s="30"/>
      <c r="E30" s="113"/>
      <c r="F30" s="72"/>
      <c r="G30" s="113" t="s">
        <v>191</v>
      </c>
      <c r="H30" s="52">
        <v>2300000</v>
      </c>
      <c r="I30" s="114">
        <f>I27</f>
        <v>34.1</v>
      </c>
      <c r="J30" s="115">
        <v>0</v>
      </c>
      <c r="K30" s="115">
        <v>70</v>
      </c>
      <c r="L30" s="33" t="s">
        <v>192</v>
      </c>
      <c r="M30" s="33" t="s">
        <v>193</v>
      </c>
      <c r="N30" s="33" t="s">
        <v>194</v>
      </c>
      <c r="O30" s="34"/>
      <c r="P30" s="116">
        <v>1.47</v>
      </c>
      <c r="Q30" s="33">
        <f t="shared" si="5"/>
        <v>1.013224123283874</v>
      </c>
      <c r="R30" s="35">
        <f t="shared" si="6"/>
        <v>0.013051528265053864</v>
      </c>
      <c r="S30" s="35">
        <v>764</v>
      </c>
      <c r="T30" s="116">
        <f t="shared" si="7"/>
        <v>9.971367594501151</v>
      </c>
      <c r="U30" s="34"/>
      <c r="V30" s="32"/>
      <c r="W30" s="35"/>
      <c r="X30" s="32"/>
      <c r="Y30" s="37"/>
      <c r="Z30" s="210">
        <f t="shared" si="0"/>
        <v>9.971367594501151</v>
      </c>
      <c r="AB30" s="211">
        <f t="shared" si="1"/>
        <v>0.000303476405050035</v>
      </c>
    </row>
    <row r="31" spans="1:25" ht="12.75">
      <c r="A31" s="1" t="s">
        <v>195</v>
      </c>
      <c r="B31" s="110" t="s">
        <v>196</v>
      </c>
      <c r="C31" s="80" t="s">
        <v>197</v>
      </c>
      <c r="D31" s="30" t="s">
        <v>198</v>
      </c>
      <c r="E31" s="113" t="s">
        <v>199</v>
      </c>
      <c r="F31" s="72" t="s">
        <v>200</v>
      </c>
      <c r="G31" s="117" t="s">
        <v>201</v>
      </c>
      <c r="H31" s="118">
        <v>823254</v>
      </c>
      <c r="I31" s="32"/>
      <c r="J31" s="32"/>
      <c r="K31" s="115">
        <v>70</v>
      </c>
      <c r="L31" s="33"/>
      <c r="M31" s="33"/>
      <c r="N31" s="33"/>
      <c r="O31" s="34"/>
      <c r="P31" s="35"/>
      <c r="Q31" s="33"/>
      <c r="R31" s="33"/>
      <c r="S31" s="35"/>
      <c r="T31" s="119"/>
      <c r="U31" s="34"/>
      <c r="V31" s="32"/>
      <c r="W31" s="32"/>
      <c r="X31" s="32"/>
      <c r="Y31" s="37"/>
    </row>
    <row r="32" spans="2:25" ht="12.75">
      <c r="B32" s="120" t="s">
        <v>202</v>
      </c>
      <c r="C32" s="121" t="s">
        <v>203</v>
      </c>
      <c r="D32" s="56" t="s">
        <v>204</v>
      </c>
      <c r="E32" s="122" t="s">
        <v>205</v>
      </c>
      <c r="F32" s="123" t="s">
        <v>206</v>
      </c>
      <c r="G32" s="53" t="s">
        <v>207</v>
      </c>
      <c r="H32" s="58">
        <v>5307690</v>
      </c>
      <c r="I32" s="59"/>
      <c r="J32" s="123"/>
      <c r="K32" s="124">
        <v>70</v>
      </c>
      <c r="L32" s="60" t="s">
        <v>208</v>
      </c>
      <c r="M32" s="60" t="s">
        <v>209</v>
      </c>
      <c r="N32" s="60" t="s">
        <v>210</v>
      </c>
      <c r="O32" s="61"/>
      <c r="P32" s="62"/>
      <c r="Q32" s="60"/>
      <c r="R32" s="60"/>
      <c r="S32" s="62"/>
      <c r="T32" s="64"/>
      <c r="U32" s="61"/>
      <c r="V32" s="59"/>
      <c r="W32" s="59"/>
      <c r="X32" s="59"/>
      <c r="Y32" s="125"/>
    </row>
    <row r="33" spans="2:25" ht="12.75">
      <c r="B33" s="126" t="s">
        <v>211</v>
      </c>
      <c r="C33" s="74" t="s">
        <v>212</v>
      </c>
      <c r="D33" s="7" t="s">
        <v>213</v>
      </c>
      <c r="E33" s="104" t="s">
        <v>214</v>
      </c>
      <c r="F33" s="68" t="s">
        <v>215</v>
      </c>
      <c r="G33" s="5" t="s">
        <v>216</v>
      </c>
      <c r="L33" s="23" t="s">
        <v>217</v>
      </c>
      <c r="M33" s="23" t="s">
        <v>218</v>
      </c>
      <c r="N33" s="23" t="s">
        <v>219</v>
      </c>
      <c r="O33" s="12"/>
      <c r="P33" s="24"/>
      <c r="Q33" s="23"/>
      <c r="R33" s="23"/>
      <c r="S33" s="24"/>
      <c r="T33" s="26"/>
      <c r="U33" s="12"/>
      <c r="Y33" s="15"/>
    </row>
    <row r="34" spans="3:25" ht="12.75">
      <c r="C34" s="74"/>
      <c r="F34" s="68"/>
      <c r="G34" s="5" t="s">
        <v>220</v>
      </c>
      <c r="L34" s="23" t="s">
        <v>221</v>
      </c>
      <c r="M34" s="23" t="s">
        <v>222</v>
      </c>
      <c r="N34" s="23" t="s">
        <v>223</v>
      </c>
      <c r="O34" s="12"/>
      <c r="P34" s="24"/>
      <c r="Q34" s="23"/>
      <c r="R34" s="23"/>
      <c r="S34" s="24"/>
      <c r="T34" s="26"/>
      <c r="U34" s="12"/>
      <c r="Y34" s="15"/>
    </row>
    <row r="35" spans="3:25" ht="12.75">
      <c r="C35" s="80"/>
      <c r="D35" s="30"/>
      <c r="E35" s="30"/>
      <c r="F35" s="72"/>
      <c r="G35" s="31" t="s">
        <v>224</v>
      </c>
      <c r="H35" s="52"/>
      <c r="I35" s="32"/>
      <c r="J35" s="32"/>
      <c r="K35" s="32"/>
      <c r="L35" s="33" t="s">
        <v>225</v>
      </c>
      <c r="M35" s="33" t="s">
        <v>226</v>
      </c>
      <c r="N35" s="33" t="s">
        <v>227</v>
      </c>
      <c r="O35" s="34"/>
      <c r="P35" s="35"/>
      <c r="Q35" s="33"/>
      <c r="R35" s="33"/>
      <c r="S35" s="33"/>
      <c r="T35" s="36"/>
      <c r="U35" s="34"/>
      <c r="V35" s="32"/>
      <c r="W35" s="32"/>
      <c r="X35" s="32"/>
      <c r="Y35" s="37"/>
    </row>
    <row r="36" spans="2:25" ht="12.75">
      <c r="B36" s="126" t="s">
        <v>228</v>
      </c>
      <c r="C36" s="74" t="s">
        <v>229</v>
      </c>
      <c r="D36" s="4" t="s">
        <v>230</v>
      </c>
      <c r="E36" s="104" t="s">
        <v>231</v>
      </c>
      <c r="F36" s="68" t="s">
        <v>232</v>
      </c>
      <c r="G36" s="22" t="s">
        <v>233</v>
      </c>
      <c r="L36" s="23" t="s">
        <v>234</v>
      </c>
      <c r="M36" s="23" t="s">
        <v>235</v>
      </c>
      <c r="N36" s="23" t="s">
        <v>236</v>
      </c>
      <c r="O36" s="12"/>
      <c r="P36" s="24"/>
      <c r="Q36" s="23"/>
      <c r="R36" s="23"/>
      <c r="S36" s="24"/>
      <c r="T36" s="26"/>
      <c r="U36" s="12"/>
      <c r="Y36" s="15"/>
    </row>
    <row r="37" spans="3:25" ht="12.75">
      <c r="C37" s="74"/>
      <c r="F37" s="68"/>
      <c r="G37" s="5" t="s">
        <v>237</v>
      </c>
      <c r="L37" s="23" t="s">
        <v>238</v>
      </c>
      <c r="M37" s="23" t="s">
        <v>239</v>
      </c>
      <c r="N37" s="23" t="s">
        <v>240</v>
      </c>
      <c r="O37" s="12"/>
      <c r="P37" s="24"/>
      <c r="Q37" s="23"/>
      <c r="R37" s="23"/>
      <c r="S37" s="24"/>
      <c r="T37" s="26"/>
      <c r="U37" s="12"/>
      <c r="Y37" s="15"/>
    </row>
    <row r="38" spans="2:25" ht="12.75">
      <c r="B38" s="28"/>
      <c r="C38" s="80"/>
      <c r="D38" s="30"/>
      <c r="E38" s="30"/>
      <c r="F38" s="72"/>
      <c r="G38" s="31" t="s">
        <v>241</v>
      </c>
      <c r="H38" s="52"/>
      <c r="I38" s="32"/>
      <c r="J38" s="32"/>
      <c r="K38" s="32"/>
      <c r="L38" s="33" t="s">
        <v>242</v>
      </c>
      <c r="M38" s="33" t="s">
        <v>243</v>
      </c>
      <c r="N38" s="33" t="s">
        <v>244</v>
      </c>
      <c r="O38" s="34"/>
      <c r="P38" s="35"/>
      <c r="Q38" s="33"/>
      <c r="R38" s="33"/>
      <c r="S38" s="35"/>
      <c r="T38" s="36"/>
      <c r="U38" s="34"/>
      <c r="V38" s="32"/>
      <c r="W38" s="32"/>
      <c r="X38" s="32"/>
      <c r="Y38" s="37"/>
    </row>
    <row r="39" spans="2:25" ht="12.75">
      <c r="B39" s="110" t="s">
        <v>245</v>
      </c>
      <c r="C39" s="74" t="s">
        <v>246</v>
      </c>
      <c r="D39" s="4" t="s">
        <v>247</v>
      </c>
      <c r="E39" s="4" t="s">
        <v>248</v>
      </c>
      <c r="F39" s="68" t="s">
        <v>249</v>
      </c>
      <c r="G39" s="22" t="s">
        <v>250</v>
      </c>
      <c r="I39" s="44"/>
      <c r="J39" s="69" t="s">
        <v>251</v>
      </c>
      <c r="L39" s="23" t="s">
        <v>252</v>
      </c>
      <c r="M39" s="23" t="s">
        <v>253</v>
      </c>
      <c r="N39" s="23" t="s">
        <v>254</v>
      </c>
      <c r="O39" s="12"/>
      <c r="P39" s="24"/>
      <c r="Q39" s="23"/>
      <c r="R39" s="23"/>
      <c r="S39" s="24"/>
      <c r="T39" s="127"/>
      <c r="U39" s="12"/>
      <c r="Y39" s="15"/>
    </row>
    <row r="40" spans="2:25" ht="12.75">
      <c r="B40" s="110"/>
      <c r="C40" s="74"/>
      <c r="F40" s="68"/>
      <c r="G40" s="5" t="s">
        <v>255</v>
      </c>
      <c r="H40" s="6">
        <f>5307690/2.1</f>
        <v>2527471.4285714286</v>
      </c>
      <c r="I40" s="128">
        <v>0.6047213309818753</v>
      </c>
      <c r="J40" s="68" t="s">
        <v>256</v>
      </c>
      <c r="L40" s="23" t="s">
        <v>257</v>
      </c>
      <c r="M40" s="23" t="s">
        <v>258</v>
      </c>
      <c r="N40" s="23" t="s">
        <v>259</v>
      </c>
      <c r="O40" s="12"/>
      <c r="P40" s="24"/>
      <c r="Q40" s="23"/>
      <c r="R40" s="23"/>
      <c r="S40" s="24"/>
      <c r="T40" s="26"/>
      <c r="U40" s="12"/>
      <c r="Y40" s="15"/>
    </row>
    <row r="41" spans="1:25" ht="12.75">
      <c r="A41" s="27"/>
      <c r="B41" s="112"/>
      <c r="C41" s="80"/>
      <c r="D41" s="30"/>
      <c r="E41" s="30"/>
      <c r="F41" s="72"/>
      <c r="G41" s="31" t="s">
        <v>260</v>
      </c>
      <c r="H41" s="52">
        <f>5307690/2.1</f>
        <v>2527471.4285714286</v>
      </c>
      <c r="I41" s="129">
        <v>2.8519753915266217</v>
      </c>
      <c r="J41" s="72" t="s">
        <v>261</v>
      </c>
      <c r="K41" s="32"/>
      <c r="L41" s="33" t="s">
        <v>262</v>
      </c>
      <c r="M41" s="33" t="s">
        <v>263</v>
      </c>
      <c r="N41" s="33" t="s">
        <v>264</v>
      </c>
      <c r="O41" s="34"/>
      <c r="P41" s="35"/>
      <c r="Q41" s="33"/>
      <c r="R41" s="33"/>
      <c r="S41" s="35"/>
      <c r="T41" s="36"/>
      <c r="U41" s="34"/>
      <c r="V41" s="32"/>
      <c r="W41" s="32"/>
      <c r="X41" s="32"/>
      <c r="Y41" s="37"/>
    </row>
    <row r="42" spans="1:25" ht="12.75">
      <c r="A42" s="1" t="s">
        <v>265</v>
      </c>
      <c r="C42" s="87" t="s">
        <v>266</v>
      </c>
      <c r="D42" s="68" t="s">
        <v>267</v>
      </c>
      <c r="F42" s="4" t="s">
        <v>268</v>
      </c>
      <c r="G42" s="5" t="s">
        <v>269</v>
      </c>
      <c r="H42" s="130" t="s">
        <v>270</v>
      </c>
      <c r="I42" s="4" t="s">
        <v>271</v>
      </c>
      <c r="J42" s="4" t="s">
        <v>272</v>
      </c>
      <c r="K42" s="7">
        <v>70</v>
      </c>
      <c r="L42" s="8" t="s">
        <v>273</v>
      </c>
      <c r="M42" s="8" t="s">
        <v>274</v>
      </c>
      <c r="N42" s="8" t="s">
        <v>275</v>
      </c>
      <c r="O42" s="131"/>
      <c r="U42" s="131"/>
      <c r="Y42" s="132"/>
    </row>
    <row r="43" spans="3:25" ht="12.75">
      <c r="C43" s="87"/>
      <c r="D43" s="68"/>
      <c r="G43" s="5" t="s">
        <v>276</v>
      </c>
      <c r="H43" s="130" t="s">
        <v>277</v>
      </c>
      <c r="I43" s="4" t="s">
        <v>278</v>
      </c>
      <c r="J43" s="4" t="s">
        <v>279</v>
      </c>
      <c r="K43" s="7">
        <v>70</v>
      </c>
      <c r="L43" s="8" t="s">
        <v>280</v>
      </c>
      <c r="M43" s="8" t="s">
        <v>281</v>
      </c>
      <c r="N43" s="8" t="s">
        <v>282</v>
      </c>
      <c r="O43" s="12"/>
      <c r="U43" s="12"/>
      <c r="Y43" s="15"/>
    </row>
    <row r="44" spans="3:25" ht="12.75">
      <c r="C44" s="87"/>
      <c r="D44" s="68"/>
      <c r="G44" s="5" t="s">
        <v>283</v>
      </c>
      <c r="H44" s="130" t="s">
        <v>284</v>
      </c>
      <c r="I44" s="4" t="s">
        <v>285</v>
      </c>
      <c r="J44" s="4" t="s">
        <v>286</v>
      </c>
      <c r="K44" s="7">
        <v>70</v>
      </c>
      <c r="L44" s="8" t="s">
        <v>287</v>
      </c>
      <c r="M44" s="8" t="s">
        <v>288</v>
      </c>
      <c r="N44" s="8" t="s">
        <v>289</v>
      </c>
      <c r="O44" s="12"/>
      <c r="U44" s="12"/>
      <c r="Y44" s="15"/>
    </row>
    <row r="45" spans="3:25" ht="12.75">
      <c r="C45" s="87" t="s">
        <v>290</v>
      </c>
      <c r="D45" s="68" t="s">
        <v>291</v>
      </c>
      <c r="G45" s="5" t="s">
        <v>292</v>
      </c>
      <c r="O45" s="12"/>
      <c r="U45" s="12"/>
      <c r="Y45" s="15"/>
    </row>
    <row r="46" spans="3:25" ht="12.75">
      <c r="C46" s="87"/>
      <c r="D46" s="68"/>
      <c r="G46" s="5" t="s">
        <v>293</v>
      </c>
      <c r="O46" s="12"/>
      <c r="U46" s="12"/>
      <c r="Y46" s="15"/>
    </row>
    <row r="47" spans="1:25" ht="12.75">
      <c r="A47" s="27"/>
      <c r="B47" s="28"/>
      <c r="C47" s="97"/>
      <c r="D47" s="72"/>
      <c r="E47" s="30"/>
      <c r="F47" s="30"/>
      <c r="G47" s="31" t="s">
        <v>294</v>
      </c>
      <c r="H47" s="52"/>
      <c r="I47" s="32"/>
      <c r="J47" s="32"/>
      <c r="K47" s="32"/>
      <c r="L47" s="129"/>
      <c r="M47" s="129"/>
      <c r="N47" s="129"/>
      <c r="O47" s="34"/>
      <c r="P47" s="32"/>
      <c r="Q47" s="32"/>
      <c r="R47" s="32"/>
      <c r="S47" s="32"/>
      <c r="T47" s="32"/>
      <c r="U47" s="34"/>
      <c r="V47" s="32"/>
      <c r="W47" s="32"/>
      <c r="X47" s="32"/>
      <c r="Y47" s="37"/>
    </row>
    <row r="48" spans="1:25" ht="25.5">
      <c r="A48" s="1" t="s">
        <v>295</v>
      </c>
      <c r="C48" s="87" t="s">
        <v>296</v>
      </c>
      <c r="D48" s="68" t="s">
        <v>297</v>
      </c>
      <c r="F48" s="4" t="s">
        <v>298</v>
      </c>
      <c r="G48" s="5" t="s">
        <v>299</v>
      </c>
      <c r="H48" s="130" t="s">
        <v>300</v>
      </c>
      <c r="I48" s="4" t="s">
        <v>301</v>
      </c>
      <c r="J48" s="4" t="s">
        <v>302</v>
      </c>
      <c r="K48" s="7">
        <v>70</v>
      </c>
      <c r="L48" s="8" t="s">
        <v>303</v>
      </c>
      <c r="M48" s="8" t="s">
        <v>304</v>
      </c>
      <c r="N48" s="8" t="s">
        <v>305</v>
      </c>
      <c r="O48" s="12"/>
      <c r="U48" s="12"/>
      <c r="Y48" s="15"/>
    </row>
    <row r="49" spans="3:25" ht="12.75">
      <c r="C49" s="87"/>
      <c r="D49" s="68"/>
      <c r="G49" s="5" t="s">
        <v>306</v>
      </c>
      <c r="H49" s="130" t="s">
        <v>307</v>
      </c>
      <c r="I49" s="4" t="s">
        <v>308</v>
      </c>
      <c r="J49" s="4" t="s">
        <v>309</v>
      </c>
      <c r="K49" s="7">
        <v>70</v>
      </c>
      <c r="L49" s="8" t="s">
        <v>310</v>
      </c>
      <c r="M49" s="8" t="s">
        <v>311</v>
      </c>
      <c r="N49" s="8" t="s">
        <v>312</v>
      </c>
      <c r="O49" s="12"/>
      <c r="U49" s="12"/>
      <c r="Y49" s="15"/>
    </row>
    <row r="50" spans="3:25" ht="12.75">
      <c r="C50" s="87"/>
      <c r="D50" s="68"/>
      <c r="G50" s="5" t="s">
        <v>313</v>
      </c>
      <c r="H50" s="130" t="s">
        <v>314</v>
      </c>
      <c r="I50" s="4" t="s">
        <v>315</v>
      </c>
      <c r="J50" s="4" t="s">
        <v>316</v>
      </c>
      <c r="K50" s="7">
        <v>70</v>
      </c>
      <c r="L50" s="8" t="s">
        <v>317</v>
      </c>
      <c r="M50" s="8" t="s">
        <v>318</v>
      </c>
      <c r="N50" s="8" t="s">
        <v>319</v>
      </c>
      <c r="O50" s="12"/>
      <c r="U50" s="12"/>
      <c r="Y50" s="15"/>
    </row>
    <row r="51" spans="3:25" ht="12.75">
      <c r="C51" s="87" t="s">
        <v>320</v>
      </c>
      <c r="D51" s="68" t="s">
        <v>321</v>
      </c>
      <c r="G51" s="5" t="s">
        <v>322</v>
      </c>
      <c r="O51" s="12"/>
      <c r="U51" s="12"/>
      <c r="Y51" s="15"/>
    </row>
    <row r="52" spans="3:25" ht="12.75">
      <c r="C52" s="87"/>
      <c r="D52" s="68"/>
      <c r="G52" s="5" t="s">
        <v>323</v>
      </c>
      <c r="O52" s="12"/>
      <c r="U52" s="12"/>
      <c r="Y52" s="15"/>
    </row>
    <row r="53" spans="3:25" ht="12.75">
      <c r="C53" s="87"/>
      <c r="D53" s="68"/>
      <c r="G53" s="5" t="s">
        <v>324</v>
      </c>
      <c r="O53" s="12"/>
      <c r="U53" s="12"/>
      <c r="Y53" s="15"/>
    </row>
    <row r="54" spans="1:25" ht="12.75">
      <c r="A54" s="188" t="s">
        <v>325</v>
      </c>
      <c r="B54" s="189"/>
      <c r="C54" s="190"/>
      <c r="D54" s="191"/>
      <c r="E54" s="191"/>
      <c r="F54" s="191"/>
      <c r="G54" s="192"/>
      <c r="H54" s="193"/>
      <c r="I54" s="194"/>
      <c r="J54" s="194"/>
      <c r="K54" s="194"/>
      <c r="L54" s="195"/>
      <c r="M54" s="195"/>
      <c r="N54" s="195"/>
      <c r="O54" s="196"/>
      <c r="P54" s="197"/>
      <c r="Q54" s="198"/>
      <c r="R54" s="198"/>
      <c r="S54" s="197"/>
      <c r="T54" s="199"/>
      <c r="U54" s="196"/>
      <c r="V54" s="194"/>
      <c r="W54" s="197"/>
      <c r="X54" s="197"/>
      <c r="Y54" s="196"/>
    </row>
    <row r="55" spans="1:24" ht="12.75">
      <c r="A55" s="200" t="s">
        <v>326</v>
      </c>
      <c r="B55" s="110"/>
      <c r="C55" s="74" t="s">
        <v>327</v>
      </c>
      <c r="D55" s="68" t="s">
        <v>328</v>
      </c>
      <c r="E55" s="68" t="s">
        <v>329</v>
      </c>
      <c r="F55" s="68"/>
      <c r="G55" s="104" t="s">
        <v>330</v>
      </c>
      <c r="H55" s="160"/>
      <c r="I55" s="69"/>
      <c r="J55" s="69"/>
      <c r="K55" s="69"/>
      <c r="L55" s="201"/>
      <c r="M55" s="201"/>
      <c r="N55" s="201"/>
      <c r="P55" s="111"/>
      <c r="Q55" s="106"/>
      <c r="R55" s="106"/>
      <c r="S55" s="111"/>
      <c r="T55" s="69"/>
      <c r="V55" s="69">
        <f>273+113+130+15</f>
        <v>531</v>
      </c>
      <c r="W55" s="111"/>
      <c r="X55" s="111"/>
    </row>
    <row r="56" spans="1:24" ht="12.75">
      <c r="A56" s="200"/>
      <c r="B56" s="110"/>
      <c r="C56" s="74"/>
      <c r="D56" s="68"/>
      <c r="E56" s="68"/>
      <c r="F56" s="68"/>
      <c r="G56" s="104" t="s">
        <v>331</v>
      </c>
      <c r="H56" s="160"/>
      <c r="I56" s="69"/>
      <c r="J56" s="69"/>
      <c r="K56" s="69"/>
      <c r="L56" s="201"/>
      <c r="M56" s="201"/>
      <c r="N56" s="201"/>
      <c r="P56" s="111"/>
      <c r="Q56" s="106"/>
      <c r="R56" s="106"/>
      <c r="S56" s="111"/>
      <c r="T56" s="127"/>
      <c r="V56" s="69"/>
      <c r="W56" s="111"/>
      <c r="X56" s="111"/>
    </row>
    <row r="57" spans="1:25" ht="12.75">
      <c r="A57" s="117"/>
      <c r="B57" s="112"/>
      <c r="C57" s="80"/>
      <c r="D57" s="72"/>
      <c r="E57" s="72"/>
      <c r="F57" s="72"/>
      <c r="G57" s="113" t="s">
        <v>332</v>
      </c>
      <c r="H57" s="202"/>
      <c r="I57" s="115"/>
      <c r="J57" s="115"/>
      <c r="K57" s="115"/>
      <c r="L57" s="203"/>
      <c r="M57" s="203"/>
      <c r="N57" s="203"/>
      <c r="O57" s="204"/>
      <c r="P57" s="116"/>
      <c r="Q57" s="205"/>
      <c r="R57" s="205"/>
      <c r="S57" s="116"/>
      <c r="T57" s="119"/>
      <c r="U57" s="204"/>
      <c r="V57" s="115"/>
      <c r="W57" s="116"/>
      <c r="X57" s="116"/>
      <c r="Y57" s="204"/>
    </row>
    <row r="58" spans="1:24" ht="25.5">
      <c r="A58" s="200" t="s">
        <v>333</v>
      </c>
      <c r="B58" s="110"/>
      <c r="C58" s="74" t="s">
        <v>334</v>
      </c>
      <c r="D58" s="68" t="s">
        <v>335</v>
      </c>
      <c r="E58" s="68" t="s">
        <v>336</v>
      </c>
      <c r="F58" s="68"/>
      <c r="G58" s="104" t="s">
        <v>337</v>
      </c>
      <c r="H58" s="160"/>
      <c r="I58" s="69"/>
      <c r="J58" s="69"/>
      <c r="K58" s="69"/>
      <c r="L58" s="201"/>
      <c r="M58" s="201"/>
      <c r="N58" s="201"/>
      <c r="P58" s="111"/>
      <c r="Q58" s="106"/>
      <c r="R58" s="106"/>
      <c r="S58" s="111"/>
      <c r="T58" s="127"/>
      <c r="V58" s="69"/>
      <c r="W58" s="111"/>
      <c r="X58" s="111"/>
    </row>
    <row r="59" spans="1:24" ht="12.75">
      <c r="A59" s="200"/>
      <c r="B59" s="110"/>
      <c r="C59" s="74"/>
      <c r="D59" s="68"/>
      <c r="E59" s="68"/>
      <c r="F59" s="68"/>
      <c r="G59" s="104" t="s">
        <v>338</v>
      </c>
      <c r="H59" s="160"/>
      <c r="I59" s="69"/>
      <c r="J59" s="69"/>
      <c r="K59" s="69"/>
      <c r="L59" s="201"/>
      <c r="M59" s="201"/>
      <c r="N59" s="201"/>
      <c r="P59" s="111"/>
      <c r="Q59" s="106"/>
      <c r="R59" s="106"/>
      <c r="S59" s="111"/>
      <c r="T59" s="127"/>
      <c r="V59" s="69"/>
      <c r="W59" s="111"/>
      <c r="X59" s="111"/>
    </row>
    <row r="60" spans="1:25" ht="12.75">
      <c r="A60" s="117"/>
      <c r="B60" s="112"/>
      <c r="C60" s="80"/>
      <c r="D60" s="72"/>
      <c r="E60" s="72"/>
      <c r="F60" s="72"/>
      <c r="G60" s="113" t="s">
        <v>339</v>
      </c>
      <c r="H60" s="202"/>
      <c r="I60" s="115"/>
      <c r="J60" s="115"/>
      <c r="K60" s="115"/>
      <c r="L60" s="203"/>
      <c r="M60" s="203"/>
      <c r="N60" s="203"/>
      <c r="O60" s="204"/>
      <c r="P60" s="116"/>
      <c r="Q60" s="205"/>
      <c r="R60" s="205"/>
      <c r="S60" s="116"/>
      <c r="T60" s="119"/>
      <c r="U60" s="204"/>
      <c r="V60" s="115"/>
      <c r="W60" s="116"/>
      <c r="X60" s="116"/>
      <c r="Y60" s="204"/>
    </row>
    <row r="61" spans="1:24" ht="12.75">
      <c r="A61" s="200" t="s">
        <v>340</v>
      </c>
      <c r="B61" s="110"/>
      <c r="C61" s="74" t="s">
        <v>341</v>
      </c>
      <c r="D61" s="68" t="s">
        <v>342</v>
      </c>
      <c r="E61" s="68" t="s">
        <v>343</v>
      </c>
      <c r="F61" s="68"/>
      <c r="G61" s="104" t="s">
        <v>344</v>
      </c>
      <c r="H61" s="160"/>
      <c r="I61" s="69"/>
      <c r="J61" s="69"/>
      <c r="K61" s="69"/>
      <c r="L61" s="201"/>
      <c r="M61" s="201"/>
      <c r="N61" s="201"/>
      <c r="P61" s="111"/>
      <c r="Q61" s="111"/>
      <c r="R61" s="111"/>
      <c r="S61" s="111"/>
      <c r="T61" s="69"/>
      <c r="V61" s="69">
        <f>398+118+562+560+50+16+135+28+15+1+3+234+97</f>
        <v>2217</v>
      </c>
      <c r="W61" s="111"/>
      <c r="X61" s="111"/>
    </row>
    <row r="62" spans="1:24" ht="12.75">
      <c r="A62" s="200"/>
      <c r="B62" s="110"/>
      <c r="C62" s="74"/>
      <c r="D62" s="68"/>
      <c r="E62" s="68"/>
      <c r="F62" s="68"/>
      <c r="G62" s="104" t="s">
        <v>345</v>
      </c>
      <c r="H62" s="160"/>
      <c r="I62" s="69"/>
      <c r="J62" s="69"/>
      <c r="K62" s="69"/>
      <c r="L62" s="201"/>
      <c r="M62" s="201"/>
      <c r="N62" s="201"/>
      <c r="P62" s="111"/>
      <c r="Q62" s="111"/>
      <c r="R62" s="111"/>
      <c r="S62" s="111"/>
      <c r="T62" s="111"/>
      <c r="V62" s="69"/>
      <c r="W62" s="111"/>
      <c r="X62" s="111"/>
    </row>
    <row r="63" spans="1:25" ht="12.75">
      <c r="A63" s="117"/>
      <c r="B63" s="112"/>
      <c r="C63" s="80"/>
      <c r="D63" s="72"/>
      <c r="E63" s="72"/>
      <c r="F63" s="72"/>
      <c r="G63" s="113" t="s">
        <v>346</v>
      </c>
      <c r="H63" s="202"/>
      <c r="I63" s="115"/>
      <c r="J63" s="115"/>
      <c r="K63" s="115"/>
      <c r="L63" s="203"/>
      <c r="M63" s="203"/>
      <c r="N63" s="203"/>
      <c r="O63" s="204"/>
      <c r="P63" s="116"/>
      <c r="Q63" s="116"/>
      <c r="R63" s="116"/>
      <c r="S63" s="116"/>
      <c r="T63" s="116"/>
      <c r="U63" s="204"/>
      <c r="V63" s="115"/>
      <c r="W63" s="116"/>
      <c r="X63" s="116"/>
      <c r="Y63" s="204"/>
    </row>
    <row r="64" ht="12.75"/>
    <row r="65" spans="1:25" ht="12.75">
      <c r="A65" s="163" t="s">
        <v>398</v>
      </c>
      <c r="B65" s="162" t="s">
        <v>399</v>
      </c>
      <c r="C65" s="163" t="s">
        <v>400</v>
      </c>
      <c r="D65" s="164" t="s">
        <v>401</v>
      </c>
      <c r="E65" s="164" t="s">
        <v>28</v>
      </c>
      <c r="F65" s="164" t="s">
        <v>402</v>
      </c>
      <c r="G65" s="165" t="s">
        <v>30</v>
      </c>
      <c r="H65" s="166">
        <v>5307690</v>
      </c>
      <c r="I65" s="161">
        <v>20</v>
      </c>
      <c r="J65" s="161">
        <v>8</v>
      </c>
      <c r="K65" s="161">
        <v>70</v>
      </c>
      <c r="L65" s="167"/>
      <c r="M65" s="167"/>
      <c r="N65" s="167"/>
      <c r="O65" s="168"/>
      <c r="P65" s="169"/>
      <c r="Q65" s="167"/>
      <c r="R65" s="167"/>
      <c r="S65" s="163">
        <v>1077</v>
      </c>
      <c r="T65" s="170">
        <f>0.8*S65</f>
        <v>861.6</v>
      </c>
      <c r="U65" s="168"/>
      <c r="V65" s="161"/>
      <c r="W65" s="161"/>
      <c r="X65" s="161"/>
      <c r="Y65" s="168"/>
    </row>
    <row r="66" spans="1:24" ht="12.75">
      <c r="A66" s="74"/>
      <c r="B66" s="110"/>
      <c r="C66" s="74"/>
      <c r="D66" s="68"/>
      <c r="E66" s="68"/>
      <c r="F66" s="68"/>
      <c r="G66" s="104" t="s">
        <v>34</v>
      </c>
      <c r="H66" s="160"/>
      <c r="I66" s="69"/>
      <c r="J66" s="69"/>
      <c r="K66" s="69"/>
      <c r="L66" s="106"/>
      <c r="M66" s="106"/>
      <c r="N66" s="106"/>
      <c r="P66" s="111"/>
      <c r="Q66" s="106"/>
      <c r="R66" s="106"/>
      <c r="S66" s="74">
        <v>1077</v>
      </c>
      <c r="T66" s="171">
        <f>0.6*S66</f>
        <v>646.1999999999999</v>
      </c>
      <c r="V66" s="69"/>
      <c r="W66" s="69"/>
      <c r="X66" s="69"/>
    </row>
    <row r="67" spans="1:24" ht="12.75">
      <c r="A67" s="74"/>
      <c r="B67" s="110"/>
      <c r="C67" s="74"/>
      <c r="D67" s="68"/>
      <c r="E67" s="68"/>
      <c r="F67" s="68"/>
      <c r="G67" s="104" t="s">
        <v>38</v>
      </c>
      <c r="H67" s="160"/>
      <c r="I67" s="69"/>
      <c r="J67" s="69"/>
      <c r="K67" s="69"/>
      <c r="L67" s="106"/>
      <c r="M67" s="106"/>
      <c r="N67" s="106"/>
      <c r="P67" s="111"/>
      <c r="Q67" s="106"/>
      <c r="R67" s="106"/>
      <c r="S67" s="74">
        <v>1077</v>
      </c>
      <c r="T67" s="171">
        <f>0.9*S67</f>
        <v>969.3000000000001</v>
      </c>
      <c r="V67" s="69"/>
      <c r="W67" s="69"/>
      <c r="X67" s="69"/>
    </row>
    <row r="68" spans="1:25" ht="12.75">
      <c r="A68" s="187" t="s">
        <v>403</v>
      </c>
      <c r="B68" s="162" t="s">
        <v>399</v>
      </c>
      <c r="C68" s="163" t="s">
        <v>400</v>
      </c>
      <c r="D68" s="164" t="s">
        <v>401</v>
      </c>
      <c r="E68" s="164" t="s">
        <v>404</v>
      </c>
      <c r="F68" s="164" t="s">
        <v>402</v>
      </c>
      <c r="G68" s="165" t="s">
        <v>30</v>
      </c>
      <c r="H68" s="166">
        <v>360000</v>
      </c>
      <c r="I68" s="161">
        <v>3.8</v>
      </c>
      <c r="J68" s="161">
        <v>8</v>
      </c>
      <c r="K68" s="161">
        <v>40</v>
      </c>
      <c r="L68" s="167"/>
      <c r="M68" s="167"/>
      <c r="N68" s="167"/>
      <c r="O68" s="168"/>
      <c r="P68" s="169"/>
      <c r="Q68" s="167"/>
      <c r="R68" s="167"/>
      <c r="S68" s="163">
        <v>1077</v>
      </c>
      <c r="T68" s="181">
        <f>0.01*S65</f>
        <v>10.77</v>
      </c>
      <c r="U68" s="168"/>
      <c r="V68" s="161"/>
      <c r="W68" s="161"/>
      <c r="X68" s="161"/>
      <c r="Y68" s="168"/>
    </row>
    <row r="69" spans="1:24" ht="12.75">
      <c r="A69" s="206"/>
      <c r="B69" s="110"/>
      <c r="C69" s="74"/>
      <c r="D69" s="68"/>
      <c r="E69" s="68"/>
      <c r="F69" s="68"/>
      <c r="G69" s="104"/>
      <c r="H69" s="160"/>
      <c r="I69" s="69"/>
      <c r="J69" s="69"/>
      <c r="K69" s="69"/>
      <c r="L69" s="106"/>
      <c r="M69" s="106"/>
      <c r="N69" s="106"/>
      <c r="P69" s="111"/>
      <c r="Q69" s="106"/>
      <c r="R69" s="106"/>
      <c r="S69" s="74"/>
      <c r="T69" s="183"/>
      <c r="V69" s="69"/>
      <c r="W69" s="69"/>
      <c r="X69" s="69"/>
    </row>
    <row r="70" spans="1:25" ht="12.75">
      <c r="A70" s="207"/>
      <c r="B70" s="172"/>
      <c r="C70" s="173"/>
      <c r="D70" s="174"/>
      <c r="E70" s="174"/>
      <c r="F70" s="174"/>
      <c r="G70" s="175"/>
      <c r="H70" s="176"/>
      <c r="I70" s="177"/>
      <c r="J70" s="177"/>
      <c r="K70" s="177"/>
      <c r="L70" s="178"/>
      <c r="M70" s="178"/>
      <c r="N70" s="178"/>
      <c r="O70" s="179"/>
      <c r="P70" s="180"/>
      <c r="Q70" s="178"/>
      <c r="R70" s="178"/>
      <c r="S70" s="173"/>
      <c r="T70" s="185"/>
      <c r="U70" s="179"/>
      <c r="V70" s="177"/>
      <c r="W70" s="177"/>
      <c r="X70" s="177"/>
      <c r="Y70" s="179"/>
    </row>
    <row r="71" spans="1:24" ht="12.75">
      <c r="A71" s="206" t="s">
        <v>405</v>
      </c>
      <c r="B71" s="110" t="s">
        <v>406</v>
      </c>
      <c r="C71" s="74" t="s">
        <v>407</v>
      </c>
      <c r="D71" s="68" t="s">
        <v>27</v>
      </c>
      <c r="E71" s="68" t="s">
        <v>28</v>
      </c>
      <c r="F71" s="68" t="s">
        <v>408</v>
      </c>
      <c r="G71" s="104" t="s">
        <v>30</v>
      </c>
      <c r="H71" s="160">
        <v>5307690</v>
      </c>
      <c r="I71" s="69">
        <v>1.36</v>
      </c>
      <c r="J71" s="69">
        <v>0</v>
      </c>
      <c r="K71" s="69">
        <v>70</v>
      </c>
      <c r="L71" s="106"/>
      <c r="M71" s="106"/>
      <c r="N71" s="106"/>
      <c r="P71" s="111">
        <v>5E-05</v>
      </c>
      <c r="Q71" s="106"/>
      <c r="R71" s="106"/>
      <c r="S71" s="111">
        <f>5773+5110</f>
        <v>10883</v>
      </c>
      <c r="T71" s="127">
        <f>(H71*P71*I71)/K71</f>
        <v>5.156041714285715</v>
      </c>
      <c r="V71" s="69"/>
      <c r="W71" s="69"/>
      <c r="X71" s="69"/>
    </row>
    <row r="72" spans="1:24" ht="12.75">
      <c r="A72" s="182"/>
      <c r="B72" s="110"/>
      <c r="C72" s="74"/>
      <c r="D72" s="68"/>
      <c r="E72" s="68"/>
      <c r="F72" s="68"/>
      <c r="G72" s="104" t="s">
        <v>34</v>
      </c>
      <c r="H72" s="160"/>
      <c r="I72" s="69"/>
      <c r="J72" s="69"/>
      <c r="K72" s="69"/>
      <c r="L72" s="106"/>
      <c r="M72" s="106"/>
      <c r="N72" s="106"/>
      <c r="P72" s="111"/>
      <c r="Q72" s="106"/>
      <c r="R72" s="106"/>
      <c r="S72" s="111"/>
      <c r="T72" s="127"/>
      <c r="V72" s="69"/>
      <c r="W72" s="69"/>
      <c r="X72" s="69"/>
    </row>
    <row r="73" spans="1:25" ht="12.75">
      <c r="A73" s="184"/>
      <c r="B73" s="172"/>
      <c r="C73" s="173"/>
      <c r="D73" s="174"/>
      <c r="E73" s="174"/>
      <c r="F73" s="174"/>
      <c r="G73" s="175" t="s">
        <v>38</v>
      </c>
      <c r="H73" s="176"/>
      <c r="I73" s="177"/>
      <c r="J73" s="177"/>
      <c r="K73" s="177"/>
      <c r="L73" s="178"/>
      <c r="M73" s="178"/>
      <c r="N73" s="178"/>
      <c r="O73" s="179"/>
      <c r="P73" s="180"/>
      <c r="Q73" s="178"/>
      <c r="R73" s="178"/>
      <c r="S73" s="180"/>
      <c r="T73" s="186"/>
      <c r="U73" s="179"/>
      <c r="V73" s="177"/>
      <c r="W73" s="177"/>
      <c r="X73" s="177"/>
      <c r="Y73" s="179"/>
    </row>
    <row r="74" ht="12.75"/>
  </sheetData>
  <mergeCells count="1">
    <mergeCell ref="V2:X2"/>
  </mergeCells>
  <printOptions/>
  <pageMargins left="0.7875" right="0.7875" top="0.7875" bottom="0.7875" header="0.5" footer="0.5"/>
  <pageSetup fitToHeight="0"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U40"/>
  <sheetViews>
    <sheetView workbookViewId="0" topLeftCell="A1">
      <selection activeCell="D38" sqref="D38"/>
    </sheetView>
  </sheetViews>
  <sheetFormatPr defaultColWidth="9.00390625" defaultRowHeight="12.75"/>
  <cols>
    <col min="1" max="16384" width="9.00390625" style="7" customWidth="1"/>
  </cols>
  <sheetData>
    <row r="2" spans="2:21" ht="15.75">
      <c r="B2" s="133"/>
      <c r="C2" s="32"/>
      <c r="D2" s="32"/>
      <c r="E2" s="32"/>
      <c r="F2" s="32"/>
      <c r="G2" s="32"/>
      <c r="H2" s="32"/>
      <c r="I2" s="32"/>
      <c r="J2" s="32"/>
      <c r="K2" s="32"/>
      <c r="L2" s="32"/>
      <c r="M2" s="32"/>
      <c r="N2" s="32"/>
      <c r="O2" s="32"/>
      <c r="P2" s="32"/>
      <c r="Q2" s="32"/>
      <c r="R2" s="32"/>
      <c r="S2" s="32"/>
      <c r="T2" s="32"/>
      <c r="U2" s="32"/>
    </row>
    <row r="3" spans="2:20" ht="12.75">
      <c r="B3" s="134"/>
      <c r="C3" s="135" t="s">
        <v>347</v>
      </c>
      <c r="D3" s="136" t="s">
        <v>348</v>
      </c>
      <c r="E3" s="135"/>
      <c r="F3" s="135"/>
      <c r="G3" s="135"/>
      <c r="H3" s="135"/>
      <c r="I3" s="135"/>
      <c r="J3" s="135"/>
      <c r="K3" s="135"/>
      <c r="L3" s="135"/>
      <c r="M3" s="135"/>
      <c r="N3" s="135"/>
      <c r="O3" s="135"/>
      <c r="P3" s="135"/>
      <c r="Q3" s="135"/>
      <c r="R3" s="135"/>
      <c r="S3" s="135"/>
      <c r="T3" s="137"/>
    </row>
    <row r="4" spans="2:20" ht="33.75">
      <c r="B4" s="134"/>
      <c r="C4" s="138" t="s">
        <v>349</v>
      </c>
      <c r="D4" s="138" t="s">
        <v>350</v>
      </c>
      <c r="E4" s="138" t="s">
        <v>351</v>
      </c>
      <c r="F4" s="138" t="s">
        <v>352</v>
      </c>
      <c r="G4" s="138" t="s">
        <v>353</v>
      </c>
      <c r="H4" s="138" t="s">
        <v>354</v>
      </c>
      <c r="I4" s="138" t="s">
        <v>355</v>
      </c>
      <c r="J4" s="138" t="s">
        <v>356</v>
      </c>
      <c r="K4" s="138" t="s">
        <v>357</v>
      </c>
      <c r="L4" s="138" t="s">
        <v>358</v>
      </c>
      <c r="M4" s="138" t="s">
        <v>359</v>
      </c>
      <c r="N4" s="138" t="s">
        <v>360</v>
      </c>
      <c r="O4" s="138" t="s">
        <v>361</v>
      </c>
      <c r="P4" s="138" t="s">
        <v>362</v>
      </c>
      <c r="Q4" s="138" t="s">
        <v>363</v>
      </c>
      <c r="R4" s="138" t="s">
        <v>364</v>
      </c>
      <c r="S4" s="138" t="s">
        <v>365</v>
      </c>
      <c r="T4" s="139" t="s">
        <v>366</v>
      </c>
    </row>
    <row r="5" spans="2:21" ht="12.75">
      <c r="B5" s="134"/>
      <c r="C5" s="140">
        <v>1.003064590906858</v>
      </c>
      <c r="D5" s="140">
        <v>0.051341204681666336</v>
      </c>
      <c r="E5" s="140">
        <v>0.11918284228237375</v>
      </c>
      <c r="F5" s="140">
        <v>0.2914489278345451</v>
      </c>
      <c r="G5" s="140">
        <v>0.048092009112792294</v>
      </c>
      <c r="H5" s="140">
        <v>0.014973702471015916</v>
      </c>
      <c r="I5" s="140">
        <v>0.02135465280506976</v>
      </c>
      <c r="J5" s="140">
        <v>0.01875138165651405</v>
      </c>
      <c r="K5" s="140">
        <v>0</v>
      </c>
      <c r="L5" s="140">
        <v>0</v>
      </c>
      <c r="M5" s="140">
        <v>0.029125319316172134</v>
      </c>
      <c r="N5" s="140">
        <v>0</v>
      </c>
      <c r="O5" s="140">
        <v>0</v>
      </c>
      <c r="P5" s="140">
        <v>0</v>
      </c>
      <c r="Q5" s="140">
        <v>0</v>
      </c>
      <c r="R5" s="140">
        <v>0</v>
      </c>
      <c r="S5" s="140">
        <v>0</v>
      </c>
      <c r="T5" s="141">
        <v>1.5973346310670076</v>
      </c>
      <c r="U5" s="142"/>
    </row>
    <row r="6" spans="2:20" ht="12.75">
      <c r="B6" s="134"/>
      <c r="C6" s="143">
        <v>0.8451086188284757</v>
      </c>
      <c r="D6" s="143">
        <v>0.04254303732742458</v>
      </c>
      <c r="E6" s="143">
        <v>0.0952680415885461</v>
      </c>
      <c r="F6" s="143">
        <v>0.3293823760013636</v>
      </c>
      <c r="G6" s="143">
        <v>0.06392800409067666</v>
      </c>
      <c r="H6" s="143">
        <v>0</v>
      </c>
      <c r="I6" s="143">
        <v>0.01418101244247486</v>
      </c>
      <c r="J6" s="143">
        <v>0.023100869268791544</v>
      </c>
      <c r="K6" s="143">
        <v>0</v>
      </c>
      <c r="L6" s="143">
        <v>0</v>
      </c>
      <c r="M6" s="143">
        <v>0.045180705641724904</v>
      </c>
      <c r="N6" s="143">
        <v>0</v>
      </c>
      <c r="O6" s="143">
        <v>0</v>
      </c>
      <c r="P6" s="143">
        <v>0</v>
      </c>
      <c r="Q6" s="143">
        <v>0</v>
      </c>
      <c r="R6" s="143">
        <v>0</v>
      </c>
      <c r="S6" s="143">
        <v>0</v>
      </c>
      <c r="T6" s="144">
        <v>1.4586926651894778</v>
      </c>
    </row>
    <row r="7" spans="2:20" ht="12.75">
      <c r="B7" s="134"/>
      <c r="C7" s="145">
        <v>0.687152646750093</v>
      </c>
      <c r="D7" s="145">
        <v>0.0337448699731828</v>
      </c>
      <c r="E7" s="145">
        <v>0.0713532408947185</v>
      </c>
      <c r="F7" s="145">
        <v>0.367315824168182</v>
      </c>
      <c r="G7" s="145">
        <v>0.079763999068561</v>
      </c>
      <c r="H7" s="145">
        <v>-0.0149737024710159</v>
      </c>
      <c r="I7" s="145">
        <v>0.00700737207987996</v>
      </c>
      <c r="J7" s="145">
        <v>0.027450356881069</v>
      </c>
      <c r="K7" s="145">
        <v>0</v>
      </c>
      <c r="L7" s="145">
        <v>0</v>
      </c>
      <c r="M7" s="145">
        <v>0.0612360919672776</v>
      </c>
      <c r="N7" s="145">
        <v>0</v>
      </c>
      <c r="O7" s="145">
        <v>0</v>
      </c>
      <c r="P7" s="145">
        <v>0</v>
      </c>
      <c r="Q7" s="145">
        <v>0</v>
      </c>
      <c r="R7" s="145">
        <v>0</v>
      </c>
      <c r="S7" s="145">
        <v>0</v>
      </c>
      <c r="T7" s="146">
        <v>1.32005069931195</v>
      </c>
    </row>
    <row r="8" spans="2:20" ht="12.75">
      <c r="B8" s="134" t="s">
        <v>367</v>
      </c>
      <c r="C8" s="147">
        <f aca="true" t="shared" si="0" ref="C8:T8">AVERAGE(C5:C7)</f>
        <v>0.8451086188284757</v>
      </c>
      <c r="D8" s="147">
        <f t="shared" si="0"/>
        <v>0.04254303732742457</v>
      </c>
      <c r="E8" s="147">
        <f t="shared" si="0"/>
        <v>0.09526804158854611</v>
      </c>
      <c r="F8" s="147">
        <f t="shared" si="0"/>
        <v>0.3293823760013636</v>
      </c>
      <c r="G8" s="147">
        <f t="shared" si="0"/>
        <v>0.06392800409067666</v>
      </c>
      <c r="H8" s="147">
        <f t="shared" si="0"/>
        <v>5.204170427930421E-18</v>
      </c>
      <c r="I8" s="147">
        <f t="shared" si="0"/>
        <v>0.01418101244247486</v>
      </c>
      <c r="J8" s="147">
        <f t="shared" si="0"/>
        <v>0.02310086926879153</v>
      </c>
      <c r="K8" s="147">
        <f t="shared" si="0"/>
        <v>0</v>
      </c>
      <c r="L8" s="147">
        <f t="shared" si="0"/>
        <v>0</v>
      </c>
      <c r="M8" s="147">
        <f t="shared" si="0"/>
        <v>0.04518070564172488</v>
      </c>
      <c r="N8" s="147">
        <f t="shared" si="0"/>
        <v>0</v>
      </c>
      <c r="O8" s="147">
        <f t="shared" si="0"/>
        <v>0</v>
      </c>
      <c r="P8" s="147">
        <f t="shared" si="0"/>
        <v>0</v>
      </c>
      <c r="Q8" s="147">
        <f t="shared" si="0"/>
        <v>0</v>
      </c>
      <c r="R8" s="147">
        <f t="shared" si="0"/>
        <v>0</v>
      </c>
      <c r="S8" s="147">
        <f t="shared" si="0"/>
        <v>0</v>
      </c>
      <c r="T8" s="148">
        <f t="shared" si="0"/>
        <v>1.4586926651894785</v>
      </c>
    </row>
    <row r="9" spans="2:20" ht="12.75">
      <c r="B9" s="134" t="s">
        <v>368</v>
      </c>
      <c r="C9" s="149">
        <f aca="true" t="shared" si="1" ref="C9:T9">C8/$T$8*100</f>
        <v>57.93602991201025</v>
      </c>
      <c r="D9" s="149">
        <f t="shared" si="1"/>
        <v>2.916518218174381</v>
      </c>
      <c r="E9" s="149">
        <f t="shared" si="1"/>
        <v>6.531056463231833</v>
      </c>
      <c r="F9" s="149">
        <f t="shared" si="1"/>
        <v>22.58065621784546</v>
      </c>
      <c r="G9" s="149">
        <f t="shared" si="1"/>
        <v>4.382554709176704</v>
      </c>
      <c r="H9" s="149">
        <f t="shared" si="1"/>
        <v>3.5676949313064654E-16</v>
      </c>
      <c r="I9" s="149">
        <f t="shared" si="1"/>
        <v>0.9721727393914606</v>
      </c>
      <c r="J9" s="149">
        <f t="shared" si="1"/>
        <v>1.5836693924686882</v>
      </c>
      <c r="K9" s="149">
        <f t="shared" si="1"/>
        <v>0</v>
      </c>
      <c r="L9" s="149">
        <f t="shared" si="1"/>
        <v>0</v>
      </c>
      <c r="M9" s="149">
        <f t="shared" si="1"/>
        <v>3.097342347701192</v>
      </c>
      <c r="N9" s="149">
        <f t="shared" si="1"/>
        <v>0</v>
      </c>
      <c r="O9" s="149">
        <f t="shared" si="1"/>
        <v>0</v>
      </c>
      <c r="P9" s="149">
        <f t="shared" si="1"/>
        <v>0</v>
      </c>
      <c r="Q9" s="149">
        <f t="shared" si="1"/>
        <v>0</v>
      </c>
      <c r="R9" s="149">
        <f t="shared" si="1"/>
        <v>0</v>
      </c>
      <c r="S9" s="149">
        <f t="shared" si="1"/>
        <v>0</v>
      </c>
      <c r="T9" s="150">
        <f t="shared" si="1"/>
        <v>100</v>
      </c>
    </row>
    <row r="10" spans="2:20" ht="12.75">
      <c r="B10" s="134" t="s">
        <v>369</v>
      </c>
      <c r="C10" s="151">
        <v>0.1</v>
      </c>
      <c r="D10" s="151">
        <v>1</v>
      </c>
      <c r="E10" s="151">
        <v>0.03</v>
      </c>
      <c r="F10" s="151">
        <v>0.3</v>
      </c>
      <c r="G10" s="151">
        <v>1</v>
      </c>
      <c r="H10" s="151">
        <v>0.1</v>
      </c>
      <c r="I10" s="151">
        <v>0.1</v>
      </c>
      <c r="J10" s="151">
        <v>0.1</v>
      </c>
      <c r="K10" s="151">
        <v>0.1</v>
      </c>
      <c r="L10" s="151">
        <v>0.1</v>
      </c>
      <c r="M10" s="151">
        <v>0.1</v>
      </c>
      <c r="N10" s="151">
        <v>0.1</v>
      </c>
      <c r="O10" s="151">
        <v>0.01</v>
      </c>
      <c r="P10" s="151">
        <v>0.01</v>
      </c>
      <c r="Q10" s="151">
        <v>0.0003</v>
      </c>
      <c r="R10" s="151">
        <v>0.0003</v>
      </c>
      <c r="S10" s="151">
        <v>0.0003</v>
      </c>
      <c r="T10" s="152"/>
    </row>
    <row r="11" spans="2:20" ht="12.75">
      <c r="B11" s="134" t="s">
        <v>370</v>
      </c>
      <c r="C11" s="7">
        <f aca="true" t="shared" si="2" ref="C11:S11">C9/100*C10</f>
        <v>0.057936029912010245</v>
      </c>
      <c r="D11" s="7">
        <f t="shared" si="2"/>
        <v>0.029165182181743812</v>
      </c>
      <c r="E11" s="7">
        <f t="shared" si="2"/>
        <v>0.0019593169389695497</v>
      </c>
      <c r="F11" s="7">
        <f t="shared" si="2"/>
        <v>0.06774196865353636</v>
      </c>
      <c r="G11" s="7">
        <f t="shared" si="2"/>
        <v>0.04382554709176704</v>
      </c>
      <c r="H11" s="7">
        <f t="shared" si="2"/>
        <v>3.567694931306466E-19</v>
      </c>
      <c r="I11" s="7">
        <f t="shared" si="2"/>
        <v>0.0009721727393914607</v>
      </c>
      <c r="J11" s="7">
        <f t="shared" si="2"/>
        <v>0.0015836693924686882</v>
      </c>
      <c r="K11" s="7">
        <f t="shared" si="2"/>
        <v>0</v>
      </c>
      <c r="L11" s="7">
        <f t="shared" si="2"/>
        <v>0</v>
      </c>
      <c r="M11" s="7">
        <f t="shared" si="2"/>
        <v>0.003097342347701192</v>
      </c>
      <c r="N11" s="7">
        <f t="shared" si="2"/>
        <v>0</v>
      </c>
      <c r="O11" s="7">
        <f t="shared" si="2"/>
        <v>0</v>
      </c>
      <c r="P11" s="7">
        <f t="shared" si="2"/>
        <v>0</v>
      </c>
      <c r="Q11" s="7">
        <f t="shared" si="2"/>
        <v>0</v>
      </c>
      <c r="R11" s="7">
        <f t="shared" si="2"/>
        <v>0</v>
      </c>
      <c r="S11" s="7">
        <f t="shared" si="2"/>
        <v>0</v>
      </c>
      <c r="T11" s="153">
        <f>SUM(C11:S11)</f>
        <v>0.20628122925758835</v>
      </c>
    </row>
    <row r="12" spans="2:20" ht="12.75">
      <c r="B12" s="134"/>
      <c r="T12" s="152"/>
    </row>
    <row r="13" spans="2:20" ht="12.75">
      <c r="B13" s="134"/>
      <c r="C13" s="7" t="s">
        <v>371</v>
      </c>
      <c r="T13" s="152"/>
    </row>
    <row r="14" spans="2:20" ht="33.75">
      <c r="B14" s="134"/>
      <c r="C14" s="138" t="s">
        <v>372</v>
      </c>
      <c r="D14" s="138" t="s">
        <v>373</v>
      </c>
      <c r="E14" s="138" t="s">
        <v>374</v>
      </c>
      <c r="F14" s="138" t="s">
        <v>375</v>
      </c>
      <c r="G14" s="138" t="s">
        <v>376</v>
      </c>
      <c r="H14" s="138" t="s">
        <v>377</v>
      </c>
      <c r="I14" s="138" t="s">
        <v>378</v>
      </c>
      <c r="J14" s="138" t="s">
        <v>379</v>
      </c>
      <c r="K14" s="138" t="s">
        <v>380</v>
      </c>
      <c r="L14" s="138" t="s">
        <v>381</v>
      </c>
      <c r="M14" s="138" t="s">
        <v>382</v>
      </c>
      <c r="N14" s="138" t="s">
        <v>383</v>
      </c>
      <c r="O14" s="138" t="s">
        <v>384</v>
      </c>
      <c r="P14" s="138" t="s">
        <v>385</v>
      </c>
      <c r="Q14" s="138" t="s">
        <v>386</v>
      </c>
      <c r="R14" s="138" t="s">
        <v>387</v>
      </c>
      <c r="S14" s="138" t="s">
        <v>388</v>
      </c>
      <c r="T14" s="139" t="s">
        <v>389</v>
      </c>
    </row>
    <row r="15" spans="2:20" ht="12.75">
      <c r="B15" s="134"/>
      <c r="C15" s="140">
        <v>0.18620400038915688</v>
      </c>
      <c r="D15" s="140">
        <v>0.026697379733188052</v>
      </c>
      <c r="E15" s="140">
        <v>0.0418433121347914</v>
      </c>
      <c r="F15" s="140">
        <v>0.1451047511074125</v>
      </c>
      <c r="G15" s="140">
        <v>0.08246253060154685</v>
      </c>
      <c r="H15" s="140">
        <v>0.015065207852262645</v>
      </c>
      <c r="I15" s="140">
        <v>0.015677012455053072</v>
      </c>
      <c r="J15" s="140">
        <v>0.018543233310367547</v>
      </c>
      <c r="K15" s="140">
        <v>0</v>
      </c>
      <c r="L15" s="140">
        <v>0.006386511691627683</v>
      </c>
      <c r="M15" s="140">
        <v>0.08631610976648445</v>
      </c>
      <c r="N15" s="140">
        <v>0.01219735689991671</v>
      </c>
      <c r="O15" s="140">
        <v>0</v>
      </c>
      <c r="P15" s="140">
        <v>0</v>
      </c>
      <c r="Q15" s="140">
        <v>0.030117484130876046</v>
      </c>
      <c r="R15" s="140">
        <v>0</v>
      </c>
      <c r="S15" s="140">
        <v>0.3084020819972534</v>
      </c>
      <c r="T15" s="141">
        <v>0.9750169720699372</v>
      </c>
    </row>
    <row r="16" spans="2:20" ht="12.75">
      <c r="B16" s="134"/>
      <c r="C16" s="143">
        <v>0.345398881785002</v>
      </c>
      <c r="D16" s="143">
        <v>0.04907556114840037</v>
      </c>
      <c r="E16" s="143">
        <v>0.048942534182613844</v>
      </c>
      <c r="F16" s="143">
        <v>0.2020712364280037</v>
      </c>
      <c r="G16" s="143">
        <v>0.1210167772072101</v>
      </c>
      <c r="H16" s="143">
        <v>0.012530628458332733</v>
      </c>
      <c r="I16" s="143">
        <v>0.015589750890530002</v>
      </c>
      <c r="J16" s="143">
        <v>0.014969505942508277</v>
      </c>
      <c r="K16" s="143">
        <v>0</v>
      </c>
      <c r="L16" s="143">
        <v>0.008493336704969236</v>
      </c>
      <c r="M16" s="143">
        <v>0.08811836831405583</v>
      </c>
      <c r="N16" s="143">
        <v>0.008108482385525318</v>
      </c>
      <c r="O16" s="143">
        <v>0.018225829253189215</v>
      </c>
      <c r="P16" s="143">
        <v>0</v>
      </c>
      <c r="Q16" s="143">
        <v>0.021576780711587706</v>
      </c>
      <c r="R16" s="143">
        <v>0.014030800690521622</v>
      </c>
      <c r="S16" s="143">
        <v>0.43655035850179835</v>
      </c>
      <c r="T16" s="144">
        <v>1.4046988326042484</v>
      </c>
    </row>
    <row r="17" spans="2:21" ht="12.75">
      <c r="B17" s="154"/>
      <c r="C17" s="145">
        <v>0.25086843347428645</v>
      </c>
      <c r="D17" s="145">
        <v>0.04023467892614838</v>
      </c>
      <c r="E17" s="145">
        <v>0.09388885829481826</v>
      </c>
      <c r="F17" s="145">
        <v>0.24459569770872436</v>
      </c>
      <c r="G17" s="145">
        <v>0.10427894089881085</v>
      </c>
      <c r="H17" s="145">
        <v>0.06008880420887053</v>
      </c>
      <c r="I17" s="145">
        <v>0.049660005900285534</v>
      </c>
      <c r="J17" s="145">
        <v>0.03772781001081746</v>
      </c>
      <c r="K17" s="145">
        <v>0</v>
      </c>
      <c r="L17" s="145">
        <v>0.020588086340839955</v>
      </c>
      <c r="M17" s="145">
        <v>0.08150159799390361</v>
      </c>
      <c r="N17" s="145">
        <v>0.016912857704789185</v>
      </c>
      <c r="O17" s="145">
        <v>0</v>
      </c>
      <c r="P17" s="145">
        <v>0</v>
      </c>
      <c r="Q17" s="145">
        <v>0.03776977087225914</v>
      </c>
      <c r="R17" s="145">
        <v>0</v>
      </c>
      <c r="S17" s="145">
        <v>0.13647333562788988</v>
      </c>
      <c r="T17" s="146">
        <v>1.1745888779624436</v>
      </c>
      <c r="U17" s="32"/>
    </row>
    <row r="18" spans="2:20" ht="12.75">
      <c r="B18" s="134"/>
      <c r="C18" s="143">
        <v>0.38469441288558526</v>
      </c>
      <c r="D18" s="143">
        <v>0.047522154320840296</v>
      </c>
      <c r="E18" s="143">
        <v>0.13149213486729416</v>
      </c>
      <c r="F18" s="143">
        <v>0.34113688838926437</v>
      </c>
      <c r="G18" s="143">
        <v>0.14216921894807424</v>
      </c>
      <c r="H18" s="143">
        <v>0.07690028363111658</v>
      </c>
      <c r="I18" s="143">
        <v>0.06548076570435435</v>
      </c>
      <c r="J18" s="143">
        <v>0.05006745856155404</v>
      </c>
      <c r="K18" s="143">
        <v>0</v>
      </c>
      <c r="L18" s="143">
        <v>0.02752753892702545</v>
      </c>
      <c r="M18" s="143">
        <v>0.09884019589083752</v>
      </c>
      <c r="N18" s="143">
        <v>0.0241583211748668</v>
      </c>
      <c r="O18" s="143">
        <v>0</v>
      </c>
      <c r="P18" s="143">
        <v>0</v>
      </c>
      <c r="Q18" s="143">
        <v>0.04838688539947573</v>
      </c>
      <c r="R18" s="143">
        <v>0</v>
      </c>
      <c r="S18" s="143">
        <v>0.12858341405758028</v>
      </c>
      <c r="T18" s="144">
        <v>1.5669596727578694</v>
      </c>
    </row>
    <row r="19" spans="2:20" ht="12.75">
      <c r="B19" s="134"/>
      <c r="C19" s="143">
        <v>0.08822576041297654</v>
      </c>
      <c r="D19" s="143">
        <v>0.016487393086694703</v>
      </c>
      <c r="E19" s="143">
        <v>0.0320201629637128</v>
      </c>
      <c r="F19" s="143">
        <v>0.087606316109115</v>
      </c>
      <c r="G19" s="143">
        <v>0.04039459486816142</v>
      </c>
      <c r="H19" s="143">
        <v>0.015433311402398939</v>
      </c>
      <c r="I19" s="143">
        <v>0.010204909155321648</v>
      </c>
      <c r="J19" s="143">
        <v>0</v>
      </c>
      <c r="K19" s="143">
        <v>0</v>
      </c>
      <c r="L19" s="143">
        <v>0</v>
      </c>
      <c r="M19" s="143">
        <v>0</v>
      </c>
      <c r="N19" s="143">
        <v>0</v>
      </c>
      <c r="O19" s="143">
        <v>0</v>
      </c>
      <c r="P19" s="143">
        <v>0</v>
      </c>
      <c r="Q19" s="143">
        <v>0</v>
      </c>
      <c r="R19" s="143">
        <v>0</v>
      </c>
      <c r="S19" s="143">
        <v>0</v>
      </c>
      <c r="T19" s="144">
        <v>0.2903724479983811</v>
      </c>
    </row>
    <row r="20" spans="2:20" ht="12.75">
      <c r="B20" s="134"/>
      <c r="C20" s="145">
        <v>0.057842020262513984</v>
      </c>
      <c r="D20" s="145">
        <v>0.011493876328791668</v>
      </c>
      <c r="E20" s="145">
        <v>0.014914613964166197</v>
      </c>
      <c r="F20" s="145">
        <v>0.06186558566651657</v>
      </c>
      <c r="G20" s="145">
        <v>0.022453388231771093</v>
      </c>
      <c r="H20" s="145">
        <v>0.00768728452363123</v>
      </c>
      <c r="I20" s="145">
        <v>0.008889302789838743</v>
      </c>
      <c r="J20" s="145">
        <v>0.007118137445725366</v>
      </c>
      <c r="K20" s="145">
        <v>0</v>
      </c>
      <c r="L20" s="145">
        <v>0</v>
      </c>
      <c r="M20" s="145">
        <v>0.020235271747267438</v>
      </c>
      <c r="N20" s="145">
        <v>0</v>
      </c>
      <c r="O20" s="145">
        <v>0.023152666566851</v>
      </c>
      <c r="P20" s="145">
        <v>0</v>
      </c>
      <c r="Q20" s="145">
        <v>0.00698141438339065</v>
      </c>
      <c r="R20" s="145">
        <v>0.02958663672206394</v>
      </c>
      <c r="S20" s="145">
        <v>0.03811850476618218</v>
      </c>
      <c r="T20" s="146">
        <v>0.31033870339871006</v>
      </c>
    </row>
    <row r="21" spans="2:20" ht="12.75">
      <c r="B21" s="134" t="s">
        <v>390</v>
      </c>
      <c r="C21" s="147">
        <f aca="true" t="shared" si="3" ref="C21:T21">AVERAGE(C15:C20)</f>
        <v>0.2188722515349202</v>
      </c>
      <c r="D21" s="147">
        <f t="shared" si="3"/>
        <v>0.031918507257343916</v>
      </c>
      <c r="E21" s="147">
        <f t="shared" si="3"/>
        <v>0.06051693606789945</v>
      </c>
      <c r="F21" s="147">
        <f t="shared" si="3"/>
        <v>0.18039674590150612</v>
      </c>
      <c r="G21" s="147">
        <f t="shared" si="3"/>
        <v>0.0854625751259291</v>
      </c>
      <c r="H21" s="147">
        <f t="shared" si="3"/>
        <v>0.03128425334610211</v>
      </c>
      <c r="I21" s="147">
        <f t="shared" si="3"/>
        <v>0.027583624482563893</v>
      </c>
      <c r="J21" s="147">
        <f t="shared" si="3"/>
        <v>0.021404357545162112</v>
      </c>
      <c r="K21" s="147">
        <f t="shared" si="3"/>
        <v>0</v>
      </c>
      <c r="L21" s="147">
        <f t="shared" si="3"/>
        <v>0.010499245610743722</v>
      </c>
      <c r="M21" s="147">
        <f t="shared" si="3"/>
        <v>0.06250192395209148</v>
      </c>
      <c r="N21" s="147">
        <f t="shared" si="3"/>
        <v>0.010229503027516336</v>
      </c>
      <c r="O21" s="147">
        <f t="shared" si="3"/>
        <v>0.006896415970006703</v>
      </c>
      <c r="P21" s="147">
        <f t="shared" si="3"/>
        <v>0</v>
      </c>
      <c r="Q21" s="147">
        <f t="shared" si="3"/>
        <v>0.02413872258293154</v>
      </c>
      <c r="R21" s="147">
        <f t="shared" si="3"/>
        <v>0.007269572902097593</v>
      </c>
      <c r="S21" s="147">
        <f t="shared" si="3"/>
        <v>0.17468794915845068</v>
      </c>
      <c r="T21" s="148">
        <f t="shared" si="3"/>
        <v>0.953662584465265</v>
      </c>
    </row>
    <row r="22" spans="2:20" ht="12.75">
      <c r="B22" s="134" t="s">
        <v>391</v>
      </c>
      <c r="C22" s="149">
        <f aca="true" t="shared" si="4" ref="C22:T22">C21/$T$21*100</f>
        <v>22.950701338214465</v>
      </c>
      <c r="D22" s="149">
        <f t="shared" si="4"/>
        <v>3.346939240071075</v>
      </c>
      <c r="E22" s="149">
        <f t="shared" si="4"/>
        <v>6.34573873964368</v>
      </c>
      <c r="F22" s="149">
        <f t="shared" si="4"/>
        <v>18.91620252698261</v>
      </c>
      <c r="G22" s="149">
        <f t="shared" si="4"/>
        <v>8.961510760522227</v>
      </c>
      <c r="H22" s="149">
        <f t="shared" si="4"/>
        <v>3.2804320789877406</v>
      </c>
      <c r="I22" s="149">
        <f t="shared" si="4"/>
        <v>2.8923882442164284</v>
      </c>
      <c r="J22" s="149">
        <f t="shared" si="4"/>
        <v>2.24443717241606</v>
      </c>
      <c r="K22" s="149">
        <f t="shared" si="4"/>
        <v>0</v>
      </c>
      <c r="L22" s="149">
        <f t="shared" si="4"/>
        <v>1.1009392401224203</v>
      </c>
      <c r="M22" s="149">
        <f t="shared" si="4"/>
        <v>6.553882365757002</v>
      </c>
      <c r="N22" s="149">
        <f t="shared" si="4"/>
        <v>1.0726543322712188</v>
      </c>
      <c r="O22" s="149">
        <f t="shared" si="4"/>
        <v>0.7231505232926425</v>
      </c>
      <c r="P22" s="149">
        <f t="shared" si="4"/>
        <v>0</v>
      </c>
      <c r="Q22" s="149">
        <f t="shared" si="4"/>
        <v>2.5311596550122117</v>
      </c>
      <c r="R22" s="149">
        <f t="shared" si="4"/>
        <v>0.7622793449712372</v>
      </c>
      <c r="S22" s="149">
        <f t="shared" si="4"/>
        <v>18.31758443751898</v>
      </c>
      <c r="T22" s="150">
        <f t="shared" si="4"/>
        <v>100</v>
      </c>
    </row>
    <row r="23" spans="2:20" ht="12.75">
      <c r="B23" s="134" t="s">
        <v>392</v>
      </c>
      <c r="C23" s="7">
        <f aca="true" t="shared" si="5" ref="C23:S23">C22/100*C10</f>
        <v>0.022950701338214467</v>
      </c>
      <c r="D23" s="7">
        <f t="shared" si="5"/>
        <v>0.03346939240071075</v>
      </c>
      <c r="E23" s="7">
        <f t="shared" si="5"/>
        <v>0.001903721621893104</v>
      </c>
      <c r="F23" s="7">
        <f t="shared" si="5"/>
        <v>0.056748607580947824</v>
      </c>
      <c r="G23" s="7">
        <f t="shared" si="5"/>
        <v>0.08961510760522227</v>
      </c>
      <c r="H23" s="7">
        <f t="shared" si="5"/>
        <v>0.0032804320789877406</v>
      </c>
      <c r="I23" s="7">
        <f t="shared" si="5"/>
        <v>0.0028923882442164284</v>
      </c>
      <c r="J23" s="7">
        <f t="shared" si="5"/>
        <v>0.0022444371724160603</v>
      </c>
      <c r="K23" s="7">
        <f t="shared" si="5"/>
        <v>0</v>
      </c>
      <c r="L23" s="7">
        <f t="shared" si="5"/>
        <v>0.0011009392401224204</v>
      </c>
      <c r="M23" s="7">
        <f t="shared" si="5"/>
        <v>0.006553882365757002</v>
      </c>
      <c r="N23" s="7">
        <f t="shared" si="5"/>
        <v>0.001072654332271219</v>
      </c>
      <c r="O23" s="7">
        <f t="shared" si="5"/>
        <v>7.231505232926425E-05</v>
      </c>
      <c r="P23" s="7">
        <f t="shared" si="5"/>
        <v>0</v>
      </c>
      <c r="Q23" s="7">
        <f t="shared" si="5"/>
        <v>7.593478965036634E-06</v>
      </c>
      <c r="R23" s="7">
        <f t="shared" si="5"/>
        <v>2.2868380349137114E-06</v>
      </c>
      <c r="S23" s="7">
        <f t="shared" si="5"/>
        <v>5.495275331255694E-05</v>
      </c>
      <c r="T23" s="153">
        <f>SUM(C23:S23)</f>
        <v>0.22196941210340101</v>
      </c>
    </row>
    <row r="24" spans="2:20" ht="12.75">
      <c r="B24" s="134" t="s">
        <v>393</v>
      </c>
      <c r="T24" s="152"/>
    </row>
    <row r="25" spans="2:20" ht="12.75">
      <c r="B25" s="134"/>
      <c r="T25" s="152"/>
    </row>
    <row r="26" spans="2:20" ht="12.75">
      <c r="B26" s="134"/>
      <c r="C26" s="59" t="s">
        <v>394</v>
      </c>
      <c r="D26" s="59" t="s">
        <v>395</v>
      </c>
      <c r="E26" s="59"/>
      <c r="T26" s="152"/>
    </row>
    <row r="27" spans="2:20" ht="12.75">
      <c r="B27" s="134"/>
      <c r="C27" s="155">
        <v>19.5729</v>
      </c>
      <c r="D27" s="156">
        <v>3.22</v>
      </c>
      <c r="T27" s="152"/>
    </row>
    <row r="28" spans="2:20" ht="12.75">
      <c r="B28" s="134"/>
      <c r="C28" s="155">
        <v>14.18</v>
      </c>
      <c r="D28" s="156">
        <v>2.66</v>
      </c>
      <c r="T28" s="152"/>
    </row>
    <row r="29" spans="2:20" ht="12.75">
      <c r="B29" s="134"/>
      <c r="C29" s="155">
        <v>21.2519</v>
      </c>
      <c r="D29" s="156">
        <v>1.22</v>
      </c>
      <c r="T29" s="152"/>
    </row>
    <row r="30" spans="2:20" ht="12.75">
      <c r="B30" s="134"/>
      <c r="D30" s="156">
        <v>1.11</v>
      </c>
      <c r="T30" s="152"/>
    </row>
    <row r="31" spans="2:20" ht="12.75">
      <c r="B31" s="134"/>
      <c r="D31" s="156">
        <v>0.81</v>
      </c>
      <c r="T31" s="152"/>
    </row>
    <row r="32" spans="2:20" ht="12.75">
      <c r="B32" s="134"/>
      <c r="D32" s="156">
        <v>2.61</v>
      </c>
      <c r="T32" s="152"/>
    </row>
    <row r="33" spans="2:20" ht="12.75">
      <c r="B33" s="134"/>
      <c r="D33" s="156">
        <v>1.31</v>
      </c>
      <c r="T33" s="152"/>
    </row>
    <row r="34" spans="2:20" ht="12.75">
      <c r="B34" s="134"/>
      <c r="D34" s="156">
        <v>1.31</v>
      </c>
      <c r="T34" s="152"/>
    </row>
    <row r="35" spans="2:20" ht="12.75">
      <c r="B35" s="134"/>
      <c r="D35" s="156">
        <v>2.23</v>
      </c>
      <c r="T35" s="152"/>
    </row>
    <row r="36" spans="2:20" ht="12.75">
      <c r="B36" s="134"/>
      <c r="D36" s="156">
        <v>2.44</v>
      </c>
      <c r="T36" s="152"/>
    </row>
    <row r="37" spans="2:20" ht="12.75">
      <c r="B37" s="134"/>
      <c r="C37" s="32"/>
      <c r="D37" s="157">
        <v>4.15</v>
      </c>
      <c r="E37" s="32"/>
      <c r="T37" s="152"/>
    </row>
    <row r="38" spans="2:20" ht="12.75">
      <c r="B38" s="134" t="s">
        <v>396</v>
      </c>
      <c r="C38" s="158">
        <f>AVERAGE(C27:C29)</f>
        <v>18.334933333333332</v>
      </c>
      <c r="D38" s="158">
        <f>AVERAGE(D27:D29)</f>
        <v>2.3666666666666667</v>
      </c>
      <c r="T38" s="152"/>
    </row>
    <row r="39" spans="2:20" ht="12.75">
      <c r="B39" s="134" t="s">
        <v>397</v>
      </c>
      <c r="C39" s="8">
        <f>D38/C38</f>
        <v>0.12907964395834545</v>
      </c>
      <c r="T39" s="152"/>
    </row>
    <row r="40" spans="2:20" ht="12.75">
      <c r="B40" s="154"/>
      <c r="C40" s="32"/>
      <c r="D40" s="32"/>
      <c r="E40" s="32"/>
      <c r="F40" s="32"/>
      <c r="G40" s="32"/>
      <c r="H40" s="32"/>
      <c r="I40" s="32"/>
      <c r="J40" s="32"/>
      <c r="K40" s="32"/>
      <c r="L40" s="32"/>
      <c r="M40" s="32"/>
      <c r="N40" s="32"/>
      <c r="O40" s="32"/>
      <c r="P40" s="32"/>
      <c r="Q40" s="32"/>
      <c r="R40" s="32"/>
      <c r="S40" s="32"/>
      <c r="T40" s="159"/>
    </row>
  </sheetData>
  <printOptions/>
  <pageMargins left="0.7875" right="0.7875" top="0.7875" bottom="0.7875" header="0.5" footer="0.5"/>
  <pageSetup fitToHeight="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eeero priha</dc:creator>
  <cp:keywords/>
  <dc:description/>
  <cp:lastModifiedBy>Juha Pekkanen</cp:lastModifiedBy>
  <cp:lastPrinted>2008-09-07T16:48:03Z</cp:lastPrinted>
  <dcterms:created xsi:type="dcterms:W3CDTF">2008-04-25T10:08:48Z</dcterms:created>
  <dcterms:modified xsi:type="dcterms:W3CDTF">2008-12-16T09:04:15Z</dcterms:modified>
  <cp:category/>
  <cp:version/>
  <cp:contentType/>
  <cp:contentStatus/>
  <cp:revision>1</cp:revision>
</cp:coreProperties>
</file>