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75" windowHeight="12375" activeTab="0"/>
  </bookViews>
  <sheets>
    <sheet name="Epidemiologinen" sheetId="1" r:id="rId1"/>
    <sheet name="Eläindata" sheetId="2" r:id="rId2"/>
    <sheet name="Rekisteridata" sheetId="3" r:id="rId3"/>
    <sheet name="Ohjearvo" sheetId="4" r:id="rId4"/>
    <sheet name="Dioksiini apulaskentaa" sheetId="5" r:id="rId5"/>
  </sheets>
  <definedNames/>
  <calcPr fullCalcOnLoad="1"/>
</workbook>
</file>

<file path=xl/comments1.xml><?xml version="1.0" encoding="utf-8"?>
<comments xmlns="http://schemas.openxmlformats.org/spreadsheetml/2006/main">
  <authors>
    <author>OL</author>
    <author>olex</author>
    <author>pku</author>
    <author>eeero priha</author>
    <author>akar</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N2" authorId="0">
      <text>
        <r>
          <rPr>
            <sz val="10"/>
            <rFont val="Arial"/>
            <family val="0"/>
          </rPr>
          <t>juha:
for the disease, see column C</t>
        </r>
      </text>
    </comment>
    <comment ref="S2" authorId="1">
      <text>
        <r>
          <rPr>
            <b/>
            <sz val="8"/>
            <rFont val="Tahoma"/>
            <family val="0"/>
          </rPr>
          <t>Olli Leino
Muutettava vastaamaan Antin mukaista tarkempaa laskutapaa</t>
        </r>
        <r>
          <rPr>
            <sz val="8"/>
            <rFont val="Tahoma"/>
            <family val="0"/>
          </rPr>
          <t xml:space="preserve">
</t>
        </r>
      </text>
    </comment>
    <comment ref="J3" authorId="0">
      <text>
        <r>
          <rPr>
            <sz val="10"/>
            <rFont val="Arial"/>
            <family val="0"/>
          </rPr>
          <t>eeero priha:
outdor air concentration</t>
        </r>
      </text>
    </comment>
    <comment ref="K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H6" authorId="0">
      <text>
        <r>
          <rPr>
            <sz val="10"/>
            <rFont val="Arial"/>
            <family val="0"/>
          </rPr>
          <t xml:space="preserve">Olli Leino
stat.fi
May-2008 </t>
        </r>
      </text>
    </comment>
    <comment ref="J6" authorId="0">
      <text>
        <r>
          <rPr>
            <sz val="10"/>
            <rFont val="Arial"/>
            <family val="0"/>
          </rPr>
          <t xml:space="preserve">Juha Pekkanen:
backgound PM concentration from natural sources
Rannikkoalueella isoimmat pitoisuudet (Tainio)
</t>
        </r>
      </text>
    </comment>
    <comment ref="K6"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N6" authorId="0">
      <text>
        <r>
          <rPr>
            <sz val="10"/>
            <rFont val="Arial"/>
            <family val="0"/>
          </rPr>
          <t xml:space="preserve">Oli Leino:
Lung cancer incidence in Finland: 
http://www.cancerregistry.fi/stats/fin/vfin0021i0.html
http://www.cancerregistry.fi/stats/fin/vfin0020i0.html
</t>
        </r>
      </text>
    </comment>
    <comment ref="N7" authorId="0">
      <text>
        <r>
          <rPr>
            <sz val="10"/>
            <rFont val="Arial"/>
            <family val="0"/>
          </rPr>
          <t xml:space="preserve">Oli Leino:
Lung cancer incidence (2.5% percentile) in Finland: 
http://www.cancerregistry.fi/stats/fin/vfin0021i0.html
http://www.cancerregistry.fi/stats/fin/vfin0020i0.html
</t>
        </r>
      </text>
    </comment>
    <comment ref="N8" authorId="0">
      <text>
        <r>
          <rPr>
            <sz val="10"/>
            <rFont val="Arial"/>
            <family val="0"/>
          </rPr>
          <t xml:space="preserve">Oli Leino:
Lung cancer incidence (97.5% percentile) in Finland: 
http://www.cancerregistry.fi/stats/fin/vfin0021i0.html
http://www.cancerregistry.fi/stats/fin/vfin0020i0.html
</t>
        </r>
      </text>
    </comment>
    <comment ref="K9"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N9"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H12"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12"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12" authorId="0">
      <text>
        <r>
          <rPr>
            <sz val="10"/>
            <rFont val="Arial"/>
            <family val="0"/>
          </rPr>
          <t>Olli Leino
Assumption: Background exposure = 0 
Is this assumption correct and what is the backgraound exposure in Finland?</t>
        </r>
      </text>
    </comment>
    <comment ref="K12" authorId="0">
      <text>
        <r>
          <rPr>
            <sz val="10"/>
            <rFont val="Arial"/>
            <family val="0"/>
          </rPr>
          <t>(Jaa tuhannella)... tee selväksi mitä yksikköä kohden mikäkin laskentasolu tekee ja mitä.
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kg)
combined E-R=combination of Cohen (2003) and Axelrad (2000) exposure-responses for IQ points per mg/kg increase in MeHg in hair (=0,2329 IQ pts/(mg/kg inc in hair))</t>
        </r>
      </text>
    </comment>
    <comment ref="O12" authorId="0">
      <text>
        <r>
          <rPr>
            <sz val="10"/>
            <rFont val="Arial"/>
            <family val="0"/>
          </rPr>
          <t>Olli Leino:
Unit = [IQ point loss] per children born* number of newborns</t>
        </r>
      </text>
    </comment>
    <comment ref="I13"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K13"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Axelrad (2000) exposure-response for IQ points per mg/kg increase in MeHg in hair (=0,1988 IQ pts/(mg/kg inc in hair))
</t>
        </r>
      </text>
    </comment>
    <comment ref="O13" authorId="0">
      <text>
        <r>
          <rPr>
            <sz val="10"/>
            <rFont val="Arial"/>
            <family val="0"/>
          </rPr>
          <t>Olli Leino:
Unit = [IQ point loss] per children born* number of newborns</t>
        </r>
      </text>
    </comment>
    <comment ref="I14"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K14"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 Cohen (2003)  exposure-response for IQ points per mg/kg increase in MeHg in hair (=0,7333 IQ pts/(mg/kg inc in hair))
</t>
        </r>
      </text>
    </comment>
    <comment ref="O14" authorId="0">
      <text>
        <r>
          <rPr>
            <sz val="10"/>
            <rFont val="Arial"/>
            <family val="0"/>
          </rPr>
          <t>Olli Leino:
Unit = [IQ point loss] per children born* number of newborns</t>
        </r>
      </text>
    </comment>
    <comment ref="C15"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15" authorId="0">
      <text>
        <r>
          <rPr>
            <sz val="10"/>
            <rFont val="Arial"/>
            <family val="0"/>
          </rPr>
          <t>Olli Leino:
Fish eating population</t>
        </r>
      </text>
    </comment>
    <comment ref="K15"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16" authorId="0">
      <text>
        <r>
          <rPr>
            <sz val="10"/>
            <rFont val="Arial"/>
            <family val="0"/>
          </rPr>
          <t>Olli Leino:
these effects cannot be quantified based on  data available.
http://www.epa.gov/NCEA/iris/subst/0073.htm</t>
        </r>
      </text>
    </comment>
    <comment ref="E16" authorId="0">
      <text>
        <r>
          <rPr>
            <sz val="10"/>
            <rFont val="Arial"/>
            <family val="0"/>
          </rPr>
          <t>Olli Leino:
Some data suggest that no threshold
exists for adverse neuropsychologic effects
from methylmercury exposure (Rice 2004).</t>
        </r>
      </text>
    </comment>
    <comment ref="H16" authorId="0">
      <text>
        <r>
          <rPr>
            <sz val="10"/>
            <rFont val="Arial"/>
            <family val="0"/>
          </rPr>
          <t>Olli Leino:
Fish eating pregnant women</t>
        </r>
      </text>
    </comment>
    <comment ref="I17"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17" authorId="0">
      <text>
        <r>
          <rPr>
            <sz val="10"/>
            <rFont val="Arial"/>
            <family val="0"/>
          </rPr>
          <t>Juha Pekkanen:
no natural background? Linear E-R to zero?</t>
        </r>
      </text>
    </comment>
    <comment ref="K17" authorId="0">
      <text>
        <r>
          <rPr>
            <sz val="10"/>
            <rFont val="Arial"/>
            <family val="0"/>
          </rPr>
          <t>Juha Pekkanen:
mitä yksikköä kohti???</t>
        </r>
      </text>
    </comment>
    <comment ref="I18" authorId="0">
      <text>
        <r>
          <rPr>
            <sz val="10"/>
            <rFont val="Arial"/>
            <family val="0"/>
          </rPr>
          <t xml:space="preserve">Olli Leino:
2.5% percentile of normal distribution
</t>
        </r>
      </text>
    </comment>
    <comment ref="I19" authorId="0">
      <text>
        <r>
          <rPr>
            <sz val="10"/>
            <rFont val="Arial"/>
            <family val="0"/>
          </rPr>
          <t xml:space="preserve">Olli Leino:
97.5% percentile of normal distribution
</t>
        </r>
      </text>
    </comment>
    <comment ref="M20" authorId="0">
      <text>
        <r>
          <rPr>
            <sz val="10"/>
            <rFont val="Arial"/>
            <family val="0"/>
          </rPr>
          <t>Juha Pekkanen:
tosi iso!?</t>
        </r>
      </text>
    </comment>
    <comment ref="N21" authorId="0">
      <text>
        <r>
          <rPr>
            <sz val="10"/>
            <rFont val="Arial"/>
            <family val="0"/>
          </rPr>
          <t xml:space="preserve">Olli Leino:
Using same estimate as for best guess… Is it ok?
</t>
        </r>
      </text>
    </comment>
    <comment ref="N22" authorId="0">
      <text>
        <r>
          <rPr>
            <sz val="10"/>
            <rFont val="Arial"/>
            <family val="0"/>
          </rPr>
          <t xml:space="preserve">Olli Leino:
Using same estimate as for best guess… Is it ok?
</t>
        </r>
      </text>
    </comment>
    <comment ref="A36" authorId="2">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36" authorId="2">
      <text>
        <r>
          <rPr>
            <b/>
            <sz val="8"/>
            <rFont val="Tahoma"/>
            <family val="0"/>
          </rPr>
          <t>pku:</t>
        </r>
        <r>
          <rPr>
            <sz val="8"/>
            <rFont val="Tahoma"/>
            <family val="0"/>
          </rPr>
          <t xml:space="preserve">
average exposure of a indoor worker</t>
        </r>
      </text>
    </comment>
    <comment ref="N36" authorId="2">
      <text>
        <r>
          <rPr>
            <b/>
            <sz val="8"/>
            <rFont val="Tahoma"/>
            <family val="0"/>
          </rPr>
          <t>pku:</t>
        </r>
        <r>
          <rPr>
            <sz val="8"/>
            <rFont val="Tahoma"/>
            <family val="0"/>
          </rPr>
          <t xml:space="preserve">
2006 FRC</t>
        </r>
      </text>
    </comment>
    <comment ref="O36" authorId="2">
      <text>
        <r>
          <rPr>
            <b/>
            <sz val="8"/>
            <rFont val="Tahoma"/>
            <family val="0"/>
          </rPr>
          <t>pku:</t>
        </r>
        <r>
          <rPr>
            <sz val="8"/>
            <rFont val="Tahoma"/>
            <family val="0"/>
          </rPr>
          <t xml:space="preserve">
Leffel 2000: The scientific basis of skin cancer</t>
        </r>
      </text>
    </comment>
    <comment ref="N37" authorId="2">
      <text>
        <r>
          <rPr>
            <b/>
            <sz val="8"/>
            <rFont val="Tahoma"/>
            <family val="0"/>
          </rPr>
          <t>pku:</t>
        </r>
        <r>
          <rPr>
            <sz val="8"/>
            <rFont val="Tahoma"/>
            <family val="0"/>
          </rPr>
          <t xml:space="preserve">
2006 FRC</t>
        </r>
      </text>
    </comment>
    <comment ref="N38" authorId="2">
      <text>
        <r>
          <rPr>
            <b/>
            <sz val="8"/>
            <rFont val="Tahoma"/>
            <family val="0"/>
          </rPr>
          <t>pku:</t>
        </r>
        <r>
          <rPr>
            <sz val="8"/>
            <rFont val="Tahoma"/>
            <family val="0"/>
          </rPr>
          <t xml:space="preserve">
2006 FRC</t>
        </r>
      </text>
    </comment>
    <comment ref="H39" authorId="2">
      <text>
        <r>
          <rPr>
            <b/>
            <sz val="8"/>
            <rFont val="Tahoma"/>
            <family val="0"/>
          </rPr>
          <t>pku:</t>
        </r>
        <r>
          <rPr>
            <sz val="8"/>
            <rFont val="Tahoma"/>
            <family val="0"/>
          </rPr>
          <t xml:space="preserve">
Jalarvo 2000, STUK-A181 1997 survey</t>
        </r>
      </text>
    </comment>
    <comment ref="J39" authorId="2">
      <text>
        <r>
          <rPr>
            <b/>
            <sz val="8"/>
            <rFont val="Tahoma"/>
            <family val="0"/>
          </rPr>
          <t>pku:</t>
        </r>
        <r>
          <rPr>
            <sz val="8"/>
            <rFont val="Tahoma"/>
            <family val="0"/>
          </rPr>
          <t xml:space="preserve">
average exposure of a indoor worker</t>
        </r>
      </text>
    </comment>
    <comment ref="N39" authorId="2">
      <text>
        <r>
          <rPr>
            <b/>
            <sz val="8"/>
            <rFont val="Tahoma"/>
            <family val="0"/>
          </rPr>
          <t>pku:</t>
        </r>
        <r>
          <rPr>
            <sz val="8"/>
            <rFont val="Tahoma"/>
            <family val="0"/>
          </rPr>
          <t xml:space="preserve">
2006 FRC</t>
        </r>
      </text>
    </comment>
    <comment ref="O39" authorId="2">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40" authorId="0">
      <text>
        <r>
          <rPr>
            <sz val="10"/>
            <rFont val="Arial"/>
            <family val="0"/>
          </rPr>
          <t>eeero priha:
lower 2.5% confidence limit of average exposure and  dose-response and N of exposed</t>
        </r>
      </text>
    </comment>
    <comment ref="G41" authorId="0">
      <text>
        <r>
          <rPr>
            <sz val="10"/>
            <rFont val="Arial"/>
            <family val="0"/>
          </rPr>
          <t>eeero priha:
upper 97.5% confidence limit of average exposure and  dose-response and N of exposed</t>
        </r>
      </text>
    </comment>
    <comment ref="I42" authorId="2">
      <text>
        <r>
          <rPr>
            <b/>
            <sz val="8"/>
            <rFont val="Tahoma"/>
            <family val="0"/>
          </rPr>
          <t>pku:</t>
        </r>
        <r>
          <rPr>
            <sz val="8"/>
            <rFont val="Tahoma"/>
            <family val="0"/>
          </rPr>
          <t xml:space="preserve">
Drozdovitch et al.2007 Whole-body effective dose for adult during 1986-2005</t>
        </r>
      </text>
    </comment>
    <comment ref="J42" authorId="2">
      <text>
        <r>
          <rPr>
            <b/>
            <sz val="8"/>
            <rFont val="Tahoma"/>
            <family val="0"/>
          </rPr>
          <t>pku:</t>
        </r>
        <r>
          <rPr>
            <sz val="8"/>
            <rFont val="Tahoma"/>
            <family val="0"/>
          </rPr>
          <t xml:space="preserve">
mean effective dose in Finland is 3,7 mSv from all sources</t>
        </r>
      </text>
    </comment>
    <comment ref="K42" authorId="2">
      <text>
        <r>
          <rPr>
            <b/>
            <sz val="8"/>
            <rFont val="Tahoma"/>
            <family val="0"/>
          </rPr>
          <t>pku:</t>
        </r>
        <r>
          <rPr>
            <sz val="8"/>
            <rFont val="Tahoma"/>
            <family val="0"/>
          </rPr>
          <t xml:space="preserve">
5% increase in lifetime cancer deaths ICRP 103</t>
        </r>
      </text>
    </comment>
    <comment ref="N42" authorId="2">
      <text>
        <r>
          <rPr>
            <b/>
            <sz val="8"/>
            <rFont val="Tahoma"/>
            <family val="0"/>
          </rPr>
          <t>pku:</t>
        </r>
        <r>
          <rPr>
            <sz val="8"/>
            <rFont val="Tahoma"/>
            <family val="0"/>
          </rPr>
          <t xml:space="preserve">
FCR 2006</t>
        </r>
      </text>
    </comment>
    <comment ref="O42" authorId="2">
      <text>
        <r>
          <rPr>
            <b/>
            <sz val="8"/>
            <rFont val="Tahoma"/>
            <family val="0"/>
          </rPr>
          <t>pku:</t>
        </r>
        <r>
          <rPr>
            <sz val="8"/>
            <rFont val="Tahoma"/>
            <family val="0"/>
          </rPr>
          <t xml:space="preserve">
cumulative exposure 1986-2005 -&gt; cancer deaths during lifetime / lifetime</t>
        </r>
      </text>
    </comment>
    <comment ref="D50" authorId="3">
      <text>
        <r>
          <rPr>
            <b/>
            <sz val="8"/>
            <rFont val="Tahoma"/>
            <family val="0"/>
          </rPr>
          <t>eeero priha:</t>
        </r>
        <r>
          <rPr>
            <sz val="8"/>
            <rFont val="Tahoma"/>
            <family val="0"/>
          </rPr>
          <t xml:space="preserve">
Kerns ym., 1983/IRIS</t>
        </r>
      </text>
    </comment>
    <comment ref="I62" authorId="4">
      <text>
        <r>
          <rPr>
            <b/>
            <sz val="8"/>
            <rFont val="Tahoma"/>
            <family val="0"/>
          </rPr>
          <t>akar:</t>
        </r>
        <r>
          <rPr>
            <sz val="8"/>
            <rFont val="Tahoma"/>
            <family val="0"/>
          </rPr>
          <t xml:space="preserve">
exposure in fibers/ml</t>
        </r>
      </text>
    </comment>
    <comment ref="B6" authorId="1">
      <text>
        <r>
          <rPr>
            <b/>
            <sz val="8"/>
            <rFont val="Tahoma"/>
            <family val="0"/>
          </rPr>
          <t>olex:</t>
        </r>
        <r>
          <rPr>
            <sz val="8"/>
            <rFont val="Tahoma"/>
            <family val="0"/>
          </rPr>
          <t xml:space="preserve">
</t>
        </r>
      </text>
    </comment>
    <comment ref="G7" authorId="0">
      <text>
        <r>
          <rPr>
            <sz val="10"/>
            <rFont val="Arial"/>
            <family val="0"/>
          </rPr>
          <t>eeero priha:
lower 2.5% confidence limit of average exposure and  dose-response and N of exposed</t>
        </r>
      </text>
    </comment>
    <comment ref="G13" authorId="0">
      <text>
        <r>
          <rPr>
            <sz val="10"/>
            <rFont val="Arial"/>
            <family val="0"/>
          </rPr>
          <t>eeero priha:
lower 2.5% confidence limit of average exposure and  dose-response and N of exposed</t>
        </r>
      </text>
    </comment>
    <comment ref="G18" authorId="0">
      <text>
        <r>
          <rPr>
            <sz val="10"/>
            <rFont val="Arial"/>
            <family val="0"/>
          </rPr>
          <t>eeero priha:
lower 2.5% confidence limit of average exposure and  dose-response and N of exposed</t>
        </r>
      </text>
    </comment>
    <comment ref="G21" authorId="0">
      <text>
        <r>
          <rPr>
            <sz val="10"/>
            <rFont val="Arial"/>
            <family val="0"/>
          </rPr>
          <t>eeero priha:
lower 2.5% confidence limit of average exposure and  dose-response and N of exposed</t>
        </r>
      </text>
    </comment>
    <comment ref="G24" authorId="0">
      <text>
        <r>
          <rPr>
            <sz val="10"/>
            <rFont val="Arial"/>
            <family val="0"/>
          </rPr>
          <t>eeero priha:
lower 2.5% confidence limit of average exposure and  dose-response and N of exposed</t>
        </r>
      </text>
    </comment>
    <comment ref="G27" authorId="0">
      <text>
        <r>
          <rPr>
            <sz val="10"/>
            <rFont val="Arial"/>
            <family val="0"/>
          </rPr>
          <t>eeero priha:
lower 2.5% confidence limit of average exposure and  dose-response and N of exposed</t>
        </r>
      </text>
    </comment>
    <comment ref="G30" authorId="0">
      <text>
        <r>
          <rPr>
            <sz val="10"/>
            <rFont val="Arial"/>
            <family val="0"/>
          </rPr>
          <t>eeero priha:
lower 2.5% confidence limit of average exposure and  dose-response and N of exposed</t>
        </r>
      </text>
    </comment>
    <comment ref="G33" authorId="0">
      <text>
        <r>
          <rPr>
            <sz val="10"/>
            <rFont val="Arial"/>
            <family val="0"/>
          </rPr>
          <t>eeero priha:
lower 2.5% confidence limit of average exposure and  dose-response and N of exposed</t>
        </r>
      </text>
    </comment>
    <comment ref="G37" authorId="0">
      <text>
        <r>
          <rPr>
            <sz val="10"/>
            <rFont val="Arial"/>
            <family val="0"/>
          </rPr>
          <t>eeero priha:
lower 2.5% confidence limit of average exposure and  dose-response and N of exposed</t>
        </r>
      </text>
    </comment>
    <comment ref="G43" authorId="0">
      <text>
        <r>
          <rPr>
            <sz val="10"/>
            <rFont val="Arial"/>
            <family val="0"/>
          </rPr>
          <t>eeero priha:
lower 2.5% confidence limit of average exposure and  dose-response and N of exposed</t>
        </r>
      </text>
    </comment>
    <comment ref="G46" authorId="0">
      <text>
        <r>
          <rPr>
            <sz val="10"/>
            <rFont val="Arial"/>
            <family val="0"/>
          </rPr>
          <t>eeero priha:
lower 2.5% confidence limit of average exposure and  dose-response and N of exposed</t>
        </r>
      </text>
    </comment>
    <comment ref="G49" authorId="0">
      <text>
        <r>
          <rPr>
            <sz val="10"/>
            <rFont val="Arial"/>
            <family val="0"/>
          </rPr>
          <t>eeero priha:
lower 2.5% confidence limit of average exposure and  dose-response and N of exposed</t>
        </r>
      </text>
    </comment>
    <comment ref="G52" authorId="0">
      <text>
        <r>
          <rPr>
            <sz val="10"/>
            <rFont val="Arial"/>
            <family val="0"/>
          </rPr>
          <t>eeero priha:
lower 2.5% confidence limit of average exposure and  dose-response and N of exposed</t>
        </r>
      </text>
    </comment>
    <comment ref="G55" authorId="0">
      <text>
        <r>
          <rPr>
            <sz val="10"/>
            <rFont val="Arial"/>
            <family val="0"/>
          </rPr>
          <t>eeero priha:
lower 2.5% confidence limit of average exposure and  dose-response and N of exposed</t>
        </r>
      </text>
    </comment>
    <comment ref="G59" authorId="0">
      <text>
        <r>
          <rPr>
            <sz val="10"/>
            <rFont val="Arial"/>
            <family val="0"/>
          </rPr>
          <t>eeero priha:
lower 2.5% confidence limit of average exposure and  dose-response and N of exposed</t>
        </r>
      </text>
    </comment>
    <comment ref="G63" authorId="0">
      <text>
        <r>
          <rPr>
            <sz val="10"/>
            <rFont val="Arial"/>
            <family val="0"/>
          </rPr>
          <t>eeero priha:
lower 2.5% confidence limit of average exposure and  dose-response and N of exposed</t>
        </r>
      </text>
    </comment>
    <comment ref="G8" authorId="0">
      <text>
        <r>
          <rPr>
            <sz val="10"/>
            <rFont val="Arial"/>
            <family val="0"/>
          </rPr>
          <t>eeero priha:
upper 97.5% confidence limit of average exposure and  dose-response and N of exposed</t>
        </r>
      </text>
    </comment>
    <comment ref="G11" authorId="0">
      <text>
        <r>
          <rPr>
            <sz val="10"/>
            <rFont val="Arial"/>
            <family val="0"/>
          </rPr>
          <t>eeero priha:
upper 97.5% confidence limit of average exposure and  dose-response and N of exposed</t>
        </r>
      </text>
    </comment>
    <comment ref="G14" authorId="0">
      <text>
        <r>
          <rPr>
            <sz val="10"/>
            <rFont val="Arial"/>
            <family val="0"/>
          </rPr>
          <t>eeero priha:
upper 97.5% confidence limit of average exposure and  dose-response and N of exposed</t>
        </r>
      </text>
    </comment>
    <comment ref="G19" authorId="0">
      <text>
        <r>
          <rPr>
            <sz val="10"/>
            <rFont val="Arial"/>
            <family val="0"/>
          </rPr>
          <t>eeero priha:
upper 97.5% confidence limit of average exposure and  dose-response and N of exposed</t>
        </r>
      </text>
    </comment>
    <comment ref="G22" authorId="0">
      <text>
        <r>
          <rPr>
            <sz val="10"/>
            <rFont val="Arial"/>
            <family val="0"/>
          </rPr>
          <t>eeero priha:
upper 97.5% confidence limit of average exposure and  dose-response and N of exposed</t>
        </r>
      </text>
    </comment>
    <comment ref="G25" authorId="0">
      <text>
        <r>
          <rPr>
            <sz val="10"/>
            <rFont val="Arial"/>
            <family val="0"/>
          </rPr>
          <t>eeero priha:
upper 97.5% confidence limit of average exposure and  dose-response and N of exposed</t>
        </r>
      </text>
    </comment>
    <comment ref="G31" authorId="0">
      <text>
        <r>
          <rPr>
            <sz val="10"/>
            <rFont val="Arial"/>
            <family val="0"/>
          </rPr>
          <t>eeero priha:
upper 97.5% confidence limit of average exposure and  dose-response and N of exposed</t>
        </r>
      </text>
    </comment>
    <comment ref="G34" authorId="0">
      <text>
        <r>
          <rPr>
            <sz val="10"/>
            <rFont val="Arial"/>
            <family val="0"/>
          </rPr>
          <t>eeero priha:
upper 97.5% confidence limit of average exposure and  dose-response and N of exposed</t>
        </r>
      </text>
    </comment>
    <comment ref="G38" authorId="0">
      <text>
        <r>
          <rPr>
            <sz val="10"/>
            <rFont val="Arial"/>
            <family val="0"/>
          </rPr>
          <t>eeero priha:
upper 97.5% confidence limit of average exposure and  dose-response and N of exposed</t>
        </r>
      </text>
    </comment>
    <comment ref="G44" authorId="0">
      <text>
        <r>
          <rPr>
            <sz val="10"/>
            <rFont val="Arial"/>
            <family val="0"/>
          </rPr>
          <t>eeero priha:
upper 97.5% confidence limit of average exposure and  dose-response and N of exposed</t>
        </r>
      </text>
    </comment>
    <comment ref="G47" authorId="0">
      <text>
        <r>
          <rPr>
            <sz val="10"/>
            <rFont val="Arial"/>
            <family val="0"/>
          </rPr>
          <t>eeero priha:
upper 97.5% confidence limit of average exposure and  dose-response and N of exposed</t>
        </r>
      </text>
    </comment>
    <comment ref="G50" authorId="0">
      <text>
        <r>
          <rPr>
            <sz val="10"/>
            <rFont val="Arial"/>
            <family val="0"/>
          </rPr>
          <t>eeero priha:
upper 97.5% confidence limit of average exposure and  dose-response and N of exposed</t>
        </r>
      </text>
    </comment>
    <comment ref="G53" authorId="0">
      <text>
        <r>
          <rPr>
            <sz val="10"/>
            <rFont val="Arial"/>
            <family val="0"/>
          </rPr>
          <t>eeero priha:
upper 97.5% confidence limit of average exposure and  dose-response and N of exposed</t>
        </r>
      </text>
    </comment>
    <comment ref="G57" authorId="0">
      <text>
        <r>
          <rPr>
            <sz val="10"/>
            <rFont val="Arial"/>
            <family val="0"/>
          </rPr>
          <t>eeero priha:
upper 97.5% confidence limit of average exposure and  dose-response and N of exposed</t>
        </r>
      </text>
    </comment>
    <comment ref="G60" authorId="0">
      <text>
        <r>
          <rPr>
            <sz val="10"/>
            <rFont val="Arial"/>
            <family val="0"/>
          </rPr>
          <t>eeero priha:
upper 97.5% confidence limit of average exposure and  dose-response and N of exposed</t>
        </r>
      </text>
    </comment>
    <comment ref="G64" authorId="0">
      <text>
        <r>
          <rPr>
            <sz val="10"/>
            <rFont val="Arial"/>
            <family val="0"/>
          </rPr>
          <t>eeero priha:
upper 97.5% confidence limit of average exposure and  dose-response and N of exposed</t>
        </r>
      </text>
    </comment>
  </commentList>
</comments>
</file>

<file path=xl/comments2.xml><?xml version="1.0" encoding="utf-8"?>
<comments xmlns="http://schemas.openxmlformats.org/spreadsheetml/2006/main">
  <authors>
    <author>OL</author>
    <author>eeero priha</author>
    <author>olex</author>
  </authors>
  <commentList>
    <comment ref="A5" authorId="0">
      <text>
        <r>
          <rPr>
            <sz val="10"/>
            <rFont val="Arial"/>
            <family val="0"/>
          </rPr>
          <t>juha:
1000 työläistä, jotka alitistuvat työssään keskimäärin 40v</t>
        </r>
      </text>
    </comment>
    <comment ref="B5" authorId="0">
      <text>
        <r>
          <rPr>
            <sz val="10"/>
            <rFont val="Arial"/>
            <family val="0"/>
          </rPr>
          <t>juha:
1000 työläistä, jotka alitistuvat työssään keskimäärin 40v</t>
        </r>
      </text>
    </comment>
    <comment ref="K5" authorId="0">
      <text>
        <r>
          <rPr>
            <sz val="10"/>
            <rFont val="Arial"/>
            <family val="0"/>
          </rPr>
          <t>juha:
karkea arvio, työ kestää 40v, josta töissä n. 7 vuotta</t>
        </r>
      </text>
    </comment>
    <comment ref="L5" authorId="0">
      <text>
        <r>
          <rPr>
            <sz val="10"/>
            <rFont val="Arial"/>
            <family val="0"/>
          </rPr>
          <t>juha:
WHO 2000</t>
        </r>
      </text>
    </comment>
    <comment ref="L4" authorId="0">
      <text>
        <r>
          <rPr>
            <sz val="10"/>
            <rFont val="Arial"/>
            <family val="0"/>
          </rPr>
          <t>juha:
for units, see column B</t>
        </r>
      </text>
    </comment>
    <comment ref="C8"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8" authorId="0">
      <text>
        <r>
          <rPr>
            <sz val="10"/>
            <rFont val="Arial"/>
            <family val="0"/>
          </rPr>
          <t>Olli Leino
95% of Finnish population eat fish
Ahvonen ja Honkanen 2003</t>
        </r>
      </text>
    </comment>
    <comment ref="I8"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8" authorId="0">
      <text>
        <r>
          <rPr>
            <sz val="10"/>
            <rFont val="Arial"/>
            <family val="0"/>
          </rPr>
          <t>Olli Leino:
Assumed E-R linearity down to zero.=&gt; background = 0</t>
        </r>
      </text>
    </comment>
    <comment ref="L8"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I9" authorId="0">
      <text>
        <r>
          <rPr>
            <sz val="10"/>
            <rFont val="Arial"/>
            <family val="0"/>
          </rPr>
          <t xml:space="preserve">Olli Leino:
As above in cell H19, but with 5% fractiles instead of mean.
</t>
        </r>
      </text>
    </comment>
    <comment ref="L9"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0" authorId="0">
      <text>
        <r>
          <rPr>
            <sz val="10"/>
            <rFont val="Arial"/>
            <family val="0"/>
          </rPr>
          <t>Olli Leino:
As above in cell H19, but 95% fractile instead of mean.</t>
        </r>
      </text>
    </comment>
    <comment ref="L10" authorId="0">
      <text>
        <r>
          <rPr>
            <sz val="10"/>
            <rFont val="Arial"/>
            <family val="0"/>
          </rPr>
          <t>Olli Leino:
Csf * unit conversion
,where csf is cancer slope factor for TCDD [mg/kg/day]^-1
unit conversion is conversion from mg -&gt; pg</t>
        </r>
      </text>
    </comment>
    <comment ref="I11" authorId="1">
      <text>
        <r>
          <rPr>
            <b/>
            <sz val="8"/>
            <rFont val="Tahoma"/>
            <family val="0"/>
          </rPr>
          <t>eeero priha:</t>
        </r>
        <r>
          <rPr>
            <sz val="8"/>
            <rFont val="Tahoma"/>
            <family val="0"/>
          </rPr>
          <t xml:space="preserve">
Expolis, omat mitaukset</t>
        </r>
      </text>
    </comment>
    <comment ref="J11" authorId="1">
      <text>
        <r>
          <rPr>
            <b/>
            <sz val="8"/>
            <rFont val="Tahoma"/>
            <family val="0"/>
          </rPr>
          <t>eeero priha:</t>
        </r>
        <r>
          <rPr>
            <sz val="8"/>
            <rFont val="Tahoma"/>
            <family val="0"/>
          </rPr>
          <t xml:space="preserve">
rural background &lt;1</t>
        </r>
      </text>
    </comment>
    <comment ref="I4" authorId="0">
      <text>
        <r>
          <rPr>
            <sz val="10"/>
            <rFont val="Arial"/>
            <family val="0"/>
          </rPr>
          <t>juha:
for units, see column A</t>
        </r>
      </text>
    </comment>
    <comment ref="J4" authorId="0">
      <text>
        <r>
          <rPr>
            <sz val="10"/>
            <rFont val="Arial"/>
            <family val="0"/>
          </rPr>
          <t>Juha Pekkanen:
Either natural background or if the dose-response slope does not go to zero</t>
        </r>
      </text>
    </comment>
    <comment ref="R4" authorId="2">
      <text>
        <r>
          <rPr>
            <b/>
            <sz val="8"/>
            <rFont val="Tahoma"/>
            <family val="0"/>
          </rPr>
          <t>Olli Leino
Muutettava vastaamaan Antin mukaista tarkempaa laskutapaa</t>
        </r>
        <r>
          <rPr>
            <sz val="8"/>
            <rFont val="Tahoma"/>
            <family val="0"/>
          </rPr>
          <t xml:space="preserve">
</t>
        </r>
      </text>
    </comment>
    <comment ref="G6" authorId="0">
      <text>
        <r>
          <rPr>
            <sz val="10"/>
            <rFont val="Arial"/>
            <family val="0"/>
          </rPr>
          <t>eeero priha:
lower 2.5% confidence limit of average exposure and  dose-response and N of exposed</t>
        </r>
      </text>
    </comment>
    <comment ref="G9" authorId="0">
      <text>
        <r>
          <rPr>
            <sz val="10"/>
            <rFont val="Arial"/>
            <family val="0"/>
          </rPr>
          <t>eeero priha:
lower 2.5% confidence limit of average exposure and  dose-response and N of exposed</t>
        </r>
      </text>
    </comment>
    <comment ref="G12" authorId="0">
      <text>
        <r>
          <rPr>
            <sz val="10"/>
            <rFont val="Arial"/>
            <family val="0"/>
          </rPr>
          <t>eeero priha:
lower 2.5% confidence limit of average exposure and  dose-response and N of exposed</t>
        </r>
      </text>
    </comment>
    <comment ref="G15" authorId="0">
      <text>
        <r>
          <rPr>
            <sz val="10"/>
            <rFont val="Arial"/>
            <family val="0"/>
          </rPr>
          <t>eeero priha:
lower 2.5% confidence limit of average exposure and  dose-response and N of exposed</t>
        </r>
      </text>
    </comment>
    <comment ref="G7" authorId="0">
      <text>
        <r>
          <rPr>
            <sz val="10"/>
            <rFont val="Arial"/>
            <family val="0"/>
          </rPr>
          <t>eeero priha:
upper 97.5% confidence limit of average exposure and  dose-response and N of exposed</t>
        </r>
      </text>
    </comment>
    <comment ref="G10" authorId="0">
      <text>
        <r>
          <rPr>
            <sz val="10"/>
            <rFont val="Arial"/>
            <family val="0"/>
          </rPr>
          <t>eeero priha:
upper 97.5% confidence limit of average exposure and  dose-response and N of exposed</t>
        </r>
      </text>
    </comment>
    <comment ref="G13" authorId="0">
      <text>
        <r>
          <rPr>
            <sz val="10"/>
            <rFont val="Arial"/>
            <family val="0"/>
          </rPr>
          <t>eeero priha:
upper 97.5% confidence limit of average exposure and  dose-response and N of exposed</t>
        </r>
      </text>
    </comment>
    <comment ref="G16" authorId="0">
      <text>
        <r>
          <rPr>
            <sz val="10"/>
            <rFont val="Arial"/>
            <family val="0"/>
          </rPr>
          <t>eeero priha:
upper 97.5% confidence limit of average exposure and  dose-response and N of exposed</t>
        </r>
      </text>
    </comment>
  </commentList>
</comments>
</file>

<file path=xl/comments3.xml><?xml version="1.0" encoding="utf-8"?>
<comments xmlns="http://schemas.openxmlformats.org/spreadsheetml/2006/main">
  <authors>
    <author>OL</author>
    <author>ekue</author>
    <author>akar</author>
    <author>olex</author>
  </authors>
  <commentList>
    <comment ref="J4"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E5" authorId="0">
      <text>
        <r>
          <rPr>
            <sz val="10"/>
            <rFont val="Arial"/>
            <family val="0"/>
          </rPr>
          <t xml:space="preserve">Olli Leino
Probably overlaps with other accident types
</t>
        </r>
      </text>
    </comment>
    <comment ref="E8" authorId="0">
      <text>
        <r>
          <rPr>
            <sz val="10"/>
            <rFont val="Arial"/>
            <family val="0"/>
          </rPr>
          <t xml:space="preserve">Olli Leino
Probably overlaps with other accident types
</t>
        </r>
      </text>
    </comment>
    <comment ref="J5" authorId="0">
      <text>
        <r>
          <rPr>
            <sz val="10"/>
            <rFont val="Arial"/>
            <family val="0"/>
          </rPr>
          <t>Olli Leino: 
2002 ICD-10
V02-V04, V09, V12-V14, V19-V79, V86-V89 
and
V01, V05-V06, V10, V11, V15-V18, V80-V85, V90-V99 
http://www.who.int/whosis/database/mort/table1_process.cfm</t>
        </r>
      </text>
    </comment>
    <comment ref="J8" authorId="0">
      <text>
        <r>
          <rPr>
            <sz val="10"/>
            <rFont val="Arial"/>
            <family val="0"/>
          </rPr>
          <t xml:space="preserve">Olli Leino: 2002
ICD-10:
X40-X49
W00-W19 
X00-X09
W65-W74 
W24-W31
W32-W34 
W20-W23, W35-W64, W75-W99, X10-X39, X50-X59, Y85, Y86 
http://www.who.int/whosis/database/mort/table1_process.cfm
</t>
        </r>
      </text>
    </comment>
    <comment ref="B11" authorId="0">
      <text>
        <r>
          <rPr>
            <sz val="10"/>
            <rFont val="Arial"/>
            <family val="0"/>
          </rPr>
          <t>Erkki:
The data used for the estimate probably employs a mixture of LAeq and Lden levels. This results in an underestimate of the exposure figures.</t>
        </r>
      </text>
    </comment>
    <comment ref="D11" authorId="0">
      <text>
        <r>
          <rPr>
            <sz val="10"/>
            <rFont val="Arial"/>
            <family val="0"/>
          </rPr>
          <t>Erkki:
The "55 dB" cut-off is arbitrary. The monetary value increases very steeply if the cut-off value is decreased!!</t>
        </r>
      </text>
    </comment>
    <comment ref="H11" authorId="0">
      <text>
        <r>
          <rPr>
            <sz val="10"/>
            <rFont val="Arial"/>
            <family val="0"/>
          </rPr>
          <t>Erkki: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B12" authorId="0">
      <text>
        <r>
          <rPr>
            <sz val="10"/>
            <rFont val="Arial"/>
            <family val="0"/>
          </rPr>
          <t>Erkki:
The data used for the estimate probably employs a mixture of LAeq and Lden levels. This will underestimate the annoyance figures obtained from Lden-based ERFs.</t>
        </r>
      </text>
    </comment>
    <comment ref="D12" authorId="0">
      <text>
        <r>
          <rPr>
            <sz val="10"/>
            <rFont val="Arial"/>
            <family val="0"/>
          </rPr>
          <t>Erkki:
Miedema, H. M. E. and C. G. M. Oudshoorn (2001). "Annoyance from transportation noise: Relationships with exposure metrics DNL and DENL and their confidence intervals." Environmental Health Perspectives 109(4): 409-416.</t>
        </r>
      </text>
    </comment>
    <comment ref="D15" authorId="0">
      <text>
        <r>
          <rPr>
            <sz val="10"/>
            <rFont val="Arial"/>
            <family val="0"/>
          </rPr>
          <t>Erkki:
Miedema et al, Behav Sleep Med. 2007;5(1):1-20.</t>
        </r>
      </text>
    </comment>
    <comment ref="P11" authorId="1">
      <text>
        <r>
          <rPr>
            <sz val="10"/>
            <rFont val="Tahoma"/>
            <family val="2"/>
          </rPr>
          <t>Erkki:
NOTE: the data used probably employ a mixture of LAeq and Lden. If only Lden would have been used, the % figure would be even higher.</t>
        </r>
      </text>
    </comment>
    <comment ref="Q13" authorId="1">
      <text>
        <r>
          <rPr>
            <sz val="10"/>
            <rFont val="Tahoma"/>
            <family val="2"/>
          </rPr>
          <t>Erkki:
Calculation based on:
- exposure data in Table 4.9 of "Meluntorjunnan valtakunnallisten linjausten hyödyt ja kustannukset", 2006 (SY821), containing all major sources of outdoor noise.
- ERF as obtained from: Miedema, H. M. E. and C. G. M. Oudshoorn (2001). "Annoyance from transportation noise: Relationships with exposure metrics DNL and DENL and their confidence intervals." Environmental Health Perspectives 109(4): 409-416.
NOTE! This is a minimum estimate because a) ERF is for Lden while the exposures have employed both Lden and LAex b) exposure groups below 55 dB are not included in the figure.</t>
        </r>
      </text>
    </comment>
    <comment ref="J21" authorId="2">
      <text>
        <r>
          <rPr>
            <b/>
            <sz val="8"/>
            <rFont val="Tahoma"/>
            <family val="0"/>
          </rPr>
          <t>akar:</t>
        </r>
        <r>
          <rPr>
            <sz val="8"/>
            <rFont val="Tahoma"/>
            <family val="0"/>
          </rPr>
          <t xml:space="preserve">
Reported occupational diseases (recognised or suspected)</t>
        </r>
      </text>
    </comment>
    <comment ref="E23" authorId="3">
      <text>
        <r>
          <rPr>
            <b/>
            <sz val="8"/>
            <rFont val="Tahoma"/>
            <family val="0"/>
          </rPr>
          <t xml:space="preserve">Olli Leino
</t>
        </r>
        <r>
          <rPr>
            <sz val="8"/>
            <rFont val="Tahoma"/>
            <family val="2"/>
          </rPr>
          <t>Probably overlaps with other accident types</t>
        </r>
      </text>
    </comment>
    <comment ref="E26" authorId="3">
      <text>
        <r>
          <rPr>
            <b/>
            <sz val="8"/>
            <rFont val="Tahoma"/>
            <family val="0"/>
          </rPr>
          <t xml:space="preserve">Olli Leino
</t>
        </r>
        <r>
          <rPr>
            <sz val="8"/>
            <rFont val="Tahoma"/>
            <family val="2"/>
          </rPr>
          <t>Probably overlaps with other accident types</t>
        </r>
      </text>
    </comment>
    <comment ref="J23" authorId="3">
      <text>
        <r>
          <rPr>
            <b/>
            <sz val="8"/>
            <rFont val="Tahoma"/>
            <family val="0"/>
          </rPr>
          <t xml:space="preserve">Olli Leino
</t>
        </r>
        <r>
          <rPr>
            <sz val="8"/>
            <rFont val="Tahoma"/>
            <family val="2"/>
          </rPr>
          <t xml:space="preserve">
http://ec.europa.eu/employment_social/news/2002/apr/1130_fi.pdf</t>
        </r>
        <r>
          <rPr>
            <sz val="8"/>
            <rFont val="Tahoma"/>
            <family val="0"/>
          </rPr>
          <t xml:space="preserve">
Akar: 2006 luvut TVL ja MELA</t>
        </r>
      </text>
    </comment>
    <comment ref="J26" authorId="2">
      <text>
        <r>
          <rPr>
            <b/>
            <sz val="8"/>
            <rFont val="Tahoma"/>
            <family val="0"/>
          </rPr>
          <t>akar:</t>
        </r>
        <r>
          <rPr>
            <sz val="8"/>
            <rFont val="Tahoma"/>
            <family val="0"/>
          </rPr>
          <t xml:space="preserve">
TVL ja MELA 2006, kaikki työkyvyttömyyden kestosta riippumatta</t>
        </r>
      </text>
    </comment>
    <comment ref="L3" authorId="3">
      <text>
        <r>
          <rPr>
            <b/>
            <sz val="8"/>
            <rFont val="Tahoma"/>
            <family val="0"/>
          </rPr>
          <t>Olli Leino
Muutettava vastaamaan Antin mukaista tarkempaa laskutapaa</t>
        </r>
        <r>
          <rPr>
            <sz val="8"/>
            <rFont val="Tahoma"/>
            <family val="0"/>
          </rPr>
          <t xml:space="preserve">
</t>
        </r>
      </text>
    </comment>
    <comment ref="G6" authorId="0">
      <text>
        <r>
          <rPr>
            <sz val="10"/>
            <rFont val="Arial"/>
            <family val="0"/>
          </rPr>
          <t>eeero priha:
lower 2.5% confidence limit of average exposure and  dose-response and N of exposed</t>
        </r>
      </text>
    </comment>
    <comment ref="G9" authorId="0">
      <text>
        <r>
          <rPr>
            <sz val="10"/>
            <rFont val="Arial"/>
            <family val="0"/>
          </rPr>
          <t>eeero priha:
lower 2.5% confidence limit of average exposure and  dose-response and N of exposed</t>
        </r>
      </text>
    </comment>
    <comment ref="G7" authorId="0">
      <text>
        <r>
          <rPr>
            <sz val="10"/>
            <rFont val="Arial"/>
            <family val="0"/>
          </rPr>
          <t>eeero priha:
upper 97.5% confidence limit of average exposure and  dose-response and N of exposed</t>
        </r>
      </text>
    </comment>
    <comment ref="G10" authorId="0">
      <text>
        <r>
          <rPr>
            <sz val="10"/>
            <rFont val="Arial"/>
            <family val="0"/>
          </rPr>
          <t>eeero priha:
upper 97.5% confidence limit of average exposure and  dose-response and N of exposed</t>
        </r>
      </text>
    </comment>
    <comment ref="G14" authorId="0">
      <text>
        <r>
          <rPr>
            <sz val="10"/>
            <rFont val="Arial"/>
            <family val="0"/>
          </rPr>
          <t>eeero priha:
upper 97.5% confidence limit of average exposure and  dose-response and N of exposed</t>
        </r>
      </text>
    </comment>
    <comment ref="G17" authorId="0">
      <text>
        <r>
          <rPr>
            <sz val="10"/>
            <rFont val="Arial"/>
            <family val="0"/>
          </rPr>
          <t>eeero priha:
upper 97.5% confidence limit of average exposure and  dose-response and N of exposed</t>
        </r>
      </text>
    </comment>
    <comment ref="G20" authorId="0">
      <text>
        <r>
          <rPr>
            <sz val="10"/>
            <rFont val="Arial"/>
            <family val="0"/>
          </rPr>
          <t>eeero priha:
upper 97.5% confidence limit of average exposure and  dose-response and N of exposed</t>
        </r>
      </text>
    </comment>
    <comment ref="G25" authorId="0">
      <text>
        <r>
          <rPr>
            <sz val="10"/>
            <rFont val="Arial"/>
            <family val="0"/>
          </rPr>
          <t>eeero priha:
upper 97.5% confidence limit of average exposure and  dose-response and N of exposed</t>
        </r>
      </text>
    </comment>
    <comment ref="G28" authorId="0">
      <text>
        <r>
          <rPr>
            <sz val="10"/>
            <rFont val="Arial"/>
            <family val="0"/>
          </rPr>
          <t>eeero priha:
upper 97.5% confidence limit of average exposure and  dose-response and N of exposed</t>
        </r>
      </text>
    </comment>
  </commentList>
</comments>
</file>

<file path=xl/comments5.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<sst xmlns="http://schemas.openxmlformats.org/spreadsheetml/2006/main" count="438" uniqueCount="159">
  <si>
    <t>Radon</t>
  </si>
  <si>
    <t>Bq/m3</t>
  </si>
  <si>
    <t>RR/epi</t>
  </si>
  <si>
    <t>all Finns</t>
  </si>
  <si>
    <t>inhal</t>
  </si>
  <si>
    <t>best guess</t>
  </si>
  <si>
    <t>NA</t>
  </si>
  <si>
    <t>minimum</t>
  </si>
  <si>
    <t>maximum</t>
  </si>
  <si>
    <t>µg/m3</t>
  </si>
  <si>
    <t>cancer</t>
  </si>
  <si>
    <t>UR/animal</t>
  </si>
  <si>
    <t>Occup exposed</t>
  </si>
  <si>
    <t xml:space="preserve"> </t>
  </si>
  <si>
    <t>registry data</t>
  </si>
  <si>
    <t>observed N</t>
  </si>
  <si>
    <t>pg/kg/d</t>
  </si>
  <si>
    <t>Fish eating population</t>
  </si>
  <si>
    <t>ingestion</t>
  </si>
  <si>
    <t>?</t>
  </si>
  <si>
    <t>mg/kg/d</t>
  </si>
  <si>
    <t>Newborn children</t>
  </si>
  <si>
    <t>Myocardial infarcton</t>
  </si>
  <si>
    <t>General population</t>
  </si>
  <si>
    <t>Persistent and delayed neurotoxicity</t>
  </si>
  <si>
    <t>net rev/L</t>
  </si>
  <si>
    <t>bladder cancer</t>
  </si>
  <si>
    <t>56 municipalities in Finland 1955-1970</t>
  </si>
  <si>
    <t>dB (Lden)</t>
  </si>
  <si>
    <t>55/50(45) dB LAeq D/N</t>
  </si>
  <si>
    <t>ERF (% annoyed vs dB)</t>
  </si>
  <si>
    <t>ERF</t>
  </si>
  <si>
    <t>death?</t>
  </si>
  <si>
    <t>gastrointestal infection?</t>
  </si>
  <si>
    <t>kJ</t>
  </si>
  <si>
    <t>Squamous cell carcinoma incidence</t>
  </si>
  <si>
    <t>patofysiologia</t>
  </si>
  <si>
    <t>skin</t>
  </si>
  <si>
    <t>Solarium</t>
  </si>
  <si>
    <t>solarium users</t>
  </si>
  <si>
    <t>mSv</t>
  </si>
  <si>
    <t>ingest &amp; inhal</t>
  </si>
  <si>
    <t>leukemia</t>
  </si>
  <si>
    <t>inhalation</t>
  </si>
  <si>
    <t>occ. exposed</t>
  </si>
  <si>
    <t>sinonasal +nasopharyngeal cancers</t>
  </si>
  <si>
    <t xml:space="preserve"> animal bioassay + PBPK model</t>
  </si>
  <si>
    <t>Salmon congener profile:</t>
  </si>
  <si>
    <t>N:\YTOS\Projects\BENERIS\WP2\Datat muut\PCDD-F concn in Finnish fish_30112007_hk_ak.xls</t>
  </si>
  <si>
    <t>Mean concentration of a congener:</t>
  </si>
  <si>
    <t>Proportion % from total:</t>
  </si>
  <si>
    <t>TEF</t>
  </si>
  <si>
    <t>TEF * Concentration:</t>
  </si>
  <si>
    <t>Perch congener profile:</t>
  </si>
  <si>
    <t>Fat percentage salmon</t>
  </si>
  <si>
    <t>Fat percentage perch</t>
  </si>
  <si>
    <t>Mean fat concentration:</t>
  </si>
  <si>
    <t>Fat ratio (perch/salmon):</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</si>
  <si>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</si>
  <si>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</si>
  <si>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</si>
  <si>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</si>
  <si>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</si>
  <si>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</si>
  <si>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</si>
  <si>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</si>
  <si>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</si>
  <si>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</si>
  <si>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</si>
  <si>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</si>
  <si>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</si>
  <si>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</si>
  <si>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</si>
  <si>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</si>
  <si>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</si>
  <si>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</si>
  <si>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adult (15-64) men employed in non-administrative occupations</t>
  </si>
  <si>
    <t>admin work</t>
  </si>
  <si>
    <t>registered occupational asthma</t>
  </si>
  <si>
    <t>adult (15-64) women employed in non-administrative occupations</t>
  </si>
  <si>
    <t>RR/Epi</t>
  </si>
  <si>
    <t>adult (15-64) Finns employed in occupations with exposure to dusts, fumes or chemicals</t>
  </si>
  <si>
    <t>lc and meso incidence</t>
  </si>
  <si>
    <t>RR/Epi EPA</t>
  </si>
  <si>
    <t>Occupationally exposed early 2000</t>
  </si>
  <si>
    <t>registered cases, 2006 data</t>
  </si>
  <si>
    <t>employed population</t>
  </si>
  <si>
    <t>Finnish salary workers and farmers</t>
  </si>
  <si>
    <t>Altiste</t>
  </si>
  <si>
    <t>Altisteen yksikkö</t>
  </si>
  <si>
    <t>Seuraus</t>
  </si>
  <si>
    <t>Riskinarviointi menetelmä</t>
  </si>
  <si>
    <t>Altistunut populaatio</t>
  </si>
  <si>
    <t>Altistusreitti</t>
  </si>
  <si>
    <t>Skenaario</t>
  </si>
  <si>
    <t>Altistuneiden lukumäärä</t>
  </si>
  <si>
    <t>RR (per altistusyksikkö)</t>
  </si>
  <si>
    <t xml:space="preserve">Vuotuinen tapausmäärä altistuneilla </t>
  </si>
  <si>
    <t xml:space="preserve">Vuotuinen altisteen aiheuttamien tapausten määrä </t>
  </si>
  <si>
    <t xml:space="preserve">Vuotuinen ylimääräisten tapausten määrä </t>
  </si>
  <si>
    <t xml:space="preserve">Altisteen aiheuttamat totaali DALYt </t>
  </si>
  <si>
    <t xml:space="preserve">Ohjearvo </t>
  </si>
  <si>
    <t xml:space="preserve">Vuotuinen lisätapausten määrä taustan/kynnyksen ylittävillä </t>
  </si>
  <si>
    <t xml:space="preserve">% (koko populaatiosta) raja-arvon ylittävillä alueella asuvista </t>
  </si>
  <si>
    <t xml:space="preserve">% (koko populaatiosta) affected </t>
  </si>
  <si>
    <t>Kesto (vuosia, elinikä=70 vuotta)</t>
  </si>
  <si>
    <t>UR (elinikäinen lisäriski per altisteyksikkö)</t>
  </si>
  <si>
    <t xml:space="preserve">Elinikäinen lisäriski (%) </t>
  </si>
  <si>
    <t xml:space="preserve">Vuotuiset ylimääräiset tapaukset altistuneilla </t>
  </si>
  <si>
    <t>Altistuneiden keskimääräinen altistus</t>
  </si>
  <si>
    <t xml:space="preserve">Tausta/ kynnys altistus </t>
  </si>
  <si>
    <t>RR taustan/ kynnyksen yläpuolella</t>
  </si>
  <si>
    <t>Altisteen aiheuttama riski taustan/ kynnyksen yläpuolella (%)</t>
  </si>
  <si>
    <t xml:space="preserve">Elinikäinen henkilö- kohtainen lisäriski altistuneilla </t>
  </si>
  <si>
    <t xml:space="preserve">Elinikäinen henkilö-kohtainen lisäriski altistuneilla </t>
  </si>
  <si>
    <t xml:space="preserve">Vuotuinen lisätapausten määrä taustan/ kynnyksen ylittävillä </t>
  </si>
  <si>
    <t>PM2.5 ulkoilma</t>
  </si>
  <si>
    <t>keuhko syöpä ilmaantuvuus</t>
  </si>
  <si>
    <t>Kaikki suomalaiset</t>
  </si>
  <si>
    <t>Hengitys</t>
  </si>
  <si>
    <t>Paras arvio</t>
  </si>
  <si>
    <t>minimi</t>
  </si>
  <si>
    <t>maksimi</t>
  </si>
  <si>
    <t>Metyyli elohopea</t>
  </si>
  <si>
    <t>Kloorauksen sivutuotteet</t>
  </si>
  <si>
    <t>Ruokaperäiset epidemiat</t>
  </si>
  <si>
    <t>Vesiperäiset epidemiat</t>
  </si>
  <si>
    <t>UV-säteily</t>
  </si>
  <si>
    <t>Chernobyl onnettomuus</t>
  </si>
  <si>
    <t>Bentseeni</t>
  </si>
  <si>
    <t>Työpaikkojen aiheuttamat lisä-astmat</t>
  </si>
  <si>
    <t>Työpaikkojen aiheuttamat lisä-COPD</t>
  </si>
  <si>
    <t>Asbestoosiin liittyvät syövät</t>
  </si>
  <si>
    <t>cardiopulmonary kuolleisuus</t>
  </si>
  <si>
    <t>ÄO:n alenema lapsilla</t>
  </si>
  <si>
    <t>munuaissyöpä</t>
  </si>
  <si>
    <t>Syöpäkuolemat yhteensä</t>
  </si>
  <si>
    <t>astman ilmaantyvyys, miehet</t>
  </si>
  <si>
    <t>astman ilmaantuvuus naiset</t>
  </si>
  <si>
    <t>COPD kuolevuus</t>
  </si>
  <si>
    <t>Nikkeli</t>
  </si>
  <si>
    <t>Dioksiini</t>
  </si>
  <si>
    <t>Formaldehydi</t>
  </si>
  <si>
    <t>syöpä</t>
  </si>
  <si>
    <t>totaali syöpä ilmaantuvuus</t>
  </si>
  <si>
    <t>CO sisällä</t>
  </si>
  <si>
    <t xml:space="preserve">Onnettomuudet: liikenne </t>
  </si>
  <si>
    <t>Onnettomuudet: muut</t>
  </si>
  <si>
    <t>Ulkotilojen melu</t>
  </si>
  <si>
    <t>Työperäinen ihotulehdus</t>
  </si>
  <si>
    <t>Onnettomuudet: työperäiset</t>
  </si>
  <si>
    <t>myrkytys</t>
  </si>
  <si>
    <t>kuolema</t>
  </si>
  <si>
    <r>
      <t xml:space="preserve">asumisalue </t>
    </r>
    <r>
      <rPr>
        <b/>
        <sz val="10"/>
        <rFont val="Symbol"/>
        <family val="1"/>
      </rPr>
      <t>³</t>
    </r>
    <r>
      <rPr>
        <b/>
        <sz val="10"/>
        <rFont val="Arial"/>
        <family val="2"/>
      </rPr>
      <t>55dB (%)</t>
    </r>
  </si>
  <si>
    <t>(korkea) häiritsevyys (%)</t>
  </si>
  <si>
    <t>unihäiriöt (%)</t>
  </si>
  <si>
    <t>cardiovasculaari (tarkennettava)</t>
  </si>
  <si>
    <t>ilmaantuvuus</t>
  </si>
  <si>
    <t xml:space="preserve">onnettomuudet töissä (ilmaantuvuus)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</si>
</sst>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0000"/>
    <numFmt numFmtId="167" formatCode="0.000000"/>
    <numFmt numFmtId="168" formatCode="0.000"/>
    <numFmt numFmtId="169" formatCode="0.0\ %"/>
    <numFmt numFmtId="170" formatCode="0.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0\ &quot;mk&quot;;\-#,##0\ &quot;mk&quot;"/>
    <numFmt numFmtId="180" formatCode="#,##0\ &quot;mk&quot;;[Red]\-#,##0\ &quot;mk&quot;"/>
    <numFmt numFmtId="181" formatCode="#,##0.00\ &quot;mk&quot;;\-#,##0.00\ &quot;mk&quot;"/>
    <numFmt numFmtId="182" formatCode="#,##0.00\ &quot;mk&quot;;[Red]\-#,##0.00\ &quot;mk&quot;"/>
    <numFmt numFmtId="183" formatCode="_-* #,##0\ &quot;mk&quot;_-;\-* #,##0\ &quot;mk&quot;_-;_-* &quot;-&quot;\ &quot;mk&quot;_-;_-@_-"/>
    <numFmt numFmtId="184" formatCode="_-* #,##0\ _m_k_-;\-* #,##0\ _m_k_-;_-* &quot;-&quot;\ _m_k_-;_-@_-"/>
    <numFmt numFmtId="185" formatCode="_-* #,##0.00\ &quot;mk&quot;_-;\-* #,##0.00\ &quot;mk&quot;_-;_-* &quot;-&quot;??\ &quot;mk&quot;_-;_-@_-"/>
    <numFmt numFmtId="186" formatCode="_-* #,##0.00\ _m_k_-;\-* #,##0.00\ _m_k_-;_-* &quot;-&quot;??\ _m_k_-;_-@_-"/>
    <numFmt numFmtId="187" formatCode="0.0&quot; %&quot;"/>
  </numFmts>
  <fonts count="20">
    <font>
      <sz val="10"/>
      <name val="Arial"/>
      <family val="0"/>
    </font>
    <font>
      <b/>
      <sz val="10"/>
      <name val="Arial"/>
      <family val="2"/>
    </font>
    <font>
      <b/>
      <sz val="10"/>
      <color indexed="18"/>
      <name val="Arial"/>
      <family val="2"/>
    </font>
    <font>
      <sz val="10"/>
      <color indexed="18"/>
      <name val="Arial"/>
      <family val="0"/>
    </font>
    <font>
      <b/>
      <sz val="10"/>
      <color indexed="22"/>
      <name val="Arial"/>
      <family val="2"/>
    </font>
    <font>
      <sz val="10"/>
      <color indexed="22"/>
      <name val="Arial"/>
      <family val="2"/>
    </font>
    <font>
      <b/>
      <sz val="10"/>
      <name val="Symbol"/>
      <family val="1"/>
    </font>
    <font>
      <b/>
      <sz val="8"/>
      <name val="Tahoma"/>
      <family val="0"/>
    </font>
    <font>
      <sz val="8"/>
      <name val="Tahoma"/>
      <family val="0"/>
    </font>
    <font>
      <sz val="10"/>
      <name val="Tahoma"/>
      <family val="2"/>
    </font>
    <font>
      <sz val="8"/>
      <name val="Arial"/>
      <family val="0"/>
    </font>
    <font>
      <u val="single"/>
      <sz val="7"/>
      <color indexed="36"/>
      <name val="Arial"/>
      <family val="0"/>
    </font>
    <font>
      <u val="single"/>
      <sz val="7"/>
      <color indexed="12"/>
      <name val="Arial"/>
      <family val="0"/>
    </font>
    <font>
      <b/>
      <sz val="12"/>
      <name val="Arial"/>
      <family val="2"/>
    </font>
    <font>
      <i/>
      <sz val="8"/>
      <name val="Arial"/>
      <family val="2"/>
    </font>
    <font>
      <b/>
      <sz val="8"/>
      <name val="Arial"/>
      <family val="2"/>
    </font>
    <font>
      <sz val="10"/>
      <color indexed="48"/>
      <name val="Arial"/>
      <family val="0"/>
    </font>
    <font>
      <b/>
      <sz val="10"/>
      <color indexed="48"/>
      <name val="Arial"/>
      <family val="0"/>
    </font>
    <font>
      <b/>
      <sz val="10"/>
      <color indexed="8"/>
      <name val="Arial"/>
      <family val="2"/>
    </font>
    <font>
      <sz val="10"/>
      <color indexed="8"/>
      <name val="Arial"/>
      <family val="2"/>
    </font>
  </fonts>
  <fills count="6">
    <fill>
      <patternFill/>
    </fill>
    <fill>
      <patternFill patternType="gray125"/>
    </fill>
    <fill>
      <patternFill patternType="solid">
        <fgColor indexed="17"/>
        <bgColor indexed="64"/>
      </patternFill>
    </fill>
    <fill>
      <patternFill patternType="solid">
        <fgColor indexed="12"/>
        <bgColor indexed="64"/>
      </patternFill>
    </fill>
    <fill>
      <patternFill patternType="solid">
        <fgColor indexed="17"/>
        <bgColor indexed="64"/>
      </patternFill>
    </fill>
    <fill>
      <patternFill patternType="solid">
        <fgColor indexed="12"/>
        <bgColor indexed="64"/>
      </patternFill>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color indexed="63"/>
      </right>
      <top style="medium"/>
      <bottom style="thin"/>
    </border>
    <border>
      <left>
        <color indexed="63"/>
      </left>
      <right>
        <color indexed="63"/>
      </right>
      <top style="thin"/>
      <bottom style="medium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19">
    <xf numFmtId="0" fontId="0" fillId="0" borderId="0" xfId="0" applyAlignment="1">
      <alignment/>
    </xf>
    <xf numFmtId="0" fontId="1" fillId="0" borderId="1" xfId="0" applyFont="1" applyBorder="1" applyAlignment="1">
      <alignment horizontal="right" wrapText="1"/>
    </xf>
    <xf numFmtId="0" fontId="1" fillId="0" borderId="1"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alignment horizontal="center"/>
    </xf>
    <xf numFmtId="0" fontId="1"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Border="1" applyAlignment="1">
      <alignment/>
    </xf>
    <xf numFmtId="2" fontId="0" fillId="0" borderId="0" xfId="0" applyNumberFormat="1" applyFont="1" applyBorder="1" applyAlignment="1">
      <alignment horizontal="right"/>
    </xf>
    <xf numFmtId="10" fontId="0" fillId="0" borderId="0" xfId="0" applyNumberFormat="1" applyFont="1" applyBorder="1" applyAlignment="1">
      <alignment horizontal="right"/>
    </xf>
    <xf numFmtId="10" fontId="0" fillId="0" borderId="0" xfId="0" applyNumberFormat="1" applyFont="1" applyBorder="1" applyAlignment="1">
      <alignment horizontal="center"/>
    </xf>
    <xf numFmtId="0" fontId="0" fillId="0" borderId="0" xfId="0" applyFont="1" applyBorder="1" applyAlignment="1">
      <alignment wrapText="1"/>
    </xf>
    <xf numFmtId="0" fontId="1" fillId="0" borderId="2" xfId="0" applyFont="1" applyBorder="1" applyAlignment="1">
      <alignment wrapText="1"/>
    </xf>
    <xf numFmtId="0" fontId="0" fillId="0" borderId="2" xfId="0" applyFont="1" applyBorder="1" applyAlignment="1">
      <alignment horizontal="center"/>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horizontal="right"/>
    </xf>
    <xf numFmtId="0" fontId="0" fillId="0" borderId="2" xfId="0" applyFont="1" applyBorder="1" applyAlignment="1">
      <alignment/>
    </xf>
    <xf numFmtId="2" fontId="0" fillId="0" borderId="2" xfId="0" applyNumberFormat="1" applyFont="1" applyBorder="1" applyAlignment="1">
      <alignment horizontal="right"/>
    </xf>
    <xf numFmtId="0" fontId="0" fillId="0" borderId="3" xfId="0" applyFont="1" applyBorder="1" applyAlignment="1">
      <alignment horizontal="right"/>
    </xf>
    <xf numFmtId="10" fontId="0" fillId="0" borderId="3" xfId="0" applyNumberFormat="1" applyFont="1" applyBorder="1" applyAlignment="1">
      <alignment horizontal="right"/>
    </xf>
    <xf numFmtId="10" fontId="0" fillId="0" borderId="3" xfId="0" applyNumberFormat="1" applyFont="1" applyBorder="1" applyAlignment="1">
      <alignment horizontal="center"/>
    </xf>
    <xf numFmtId="3" fontId="0" fillId="0" borderId="2" xfId="0" applyNumberFormat="1" applyFont="1" applyBorder="1" applyAlignment="1">
      <alignment horizontal="right"/>
    </xf>
    <xf numFmtId="0" fontId="0" fillId="0" borderId="4" xfId="0" applyFont="1" applyBorder="1" applyAlignment="1">
      <alignment/>
    </xf>
    <xf numFmtId="0" fontId="0" fillId="0" borderId="0" xfId="0" applyFont="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Border="1" applyAlignment="1">
      <alignment horizontal="center"/>
    </xf>
    <xf numFmtId="0" fontId="0" fillId="0" borderId="3" xfId="0" applyFont="1" applyBorder="1" applyAlignment="1">
      <alignment horizontal="center"/>
    </xf>
    <xf numFmtId="0" fontId="1" fillId="0" borderId="0" xfId="0" applyFont="1" applyFill="1" applyBorder="1" applyAlignment="1">
      <alignment/>
    </xf>
    <xf numFmtId="166" fontId="0" fillId="0" borderId="0" xfId="0" applyNumberFormat="1" applyFont="1" applyBorder="1" applyAlignment="1">
      <alignment horizontal="right"/>
    </xf>
    <xf numFmtId="167" fontId="0" fillId="0" borderId="0" xfId="0" applyNumberFormat="1" applyFont="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horizontal="right" wrapText="1"/>
    </xf>
    <xf numFmtId="2" fontId="0" fillId="0" borderId="0" xfId="0" applyNumberFormat="1" applyFont="1" applyFill="1" applyBorder="1" applyAlignment="1">
      <alignment horizontal="right"/>
    </xf>
    <xf numFmtId="0" fontId="0" fillId="0" borderId="0" xfId="0" applyFont="1" applyFill="1" applyBorder="1" applyAlignment="1">
      <alignment horizontal="center"/>
    </xf>
    <xf numFmtId="0" fontId="3" fillId="2" borderId="0" xfId="0" applyFont="1" applyFill="1" applyBorder="1" applyAlignment="1">
      <alignment/>
    </xf>
    <xf numFmtId="0" fontId="0" fillId="0" borderId="0" xfId="0" applyFont="1" applyFill="1" applyBorder="1" applyAlignment="1">
      <alignment horizontal="right"/>
    </xf>
    <xf numFmtId="0" fontId="1" fillId="0" borderId="3" xfId="0" applyFont="1" applyBorder="1" applyAlignment="1">
      <alignment wrapText="1"/>
    </xf>
    <xf numFmtId="0" fontId="0" fillId="0" borderId="3" xfId="0" applyFont="1" applyBorder="1" applyAlignment="1">
      <alignment horizontal="center"/>
    </xf>
    <xf numFmtId="0" fontId="1" fillId="0" borderId="3" xfId="0" applyFont="1" applyFill="1" applyBorder="1" applyAlignment="1">
      <alignment/>
    </xf>
    <xf numFmtId="0" fontId="0" fillId="0" borderId="3" xfId="0" applyFont="1" applyBorder="1" applyAlignment="1">
      <alignment/>
    </xf>
    <xf numFmtId="0" fontId="0" fillId="0" borderId="3" xfId="0" applyFont="1" applyFill="1" applyBorder="1" applyAlignment="1">
      <alignment/>
    </xf>
    <xf numFmtId="3" fontId="0" fillId="0" borderId="3" xfId="0" applyNumberFormat="1" applyFont="1" applyBorder="1" applyAlignment="1">
      <alignment horizontal="right"/>
    </xf>
    <xf numFmtId="0" fontId="0" fillId="0" borderId="3" xfId="0" applyFont="1" applyBorder="1" applyAlignment="1">
      <alignment/>
    </xf>
    <xf numFmtId="2" fontId="0" fillId="0" borderId="3" xfId="0" applyNumberFormat="1" applyFont="1" applyBorder="1" applyAlignment="1">
      <alignment horizontal="right"/>
    </xf>
    <xf numFmtId="0" fontId="0" fillId="0" borderId="3" xfId="0" applyFill="1" applyBorder="1" applyAlignment="1">
      <alignment horizontal="right"/>
    </xf>
    <xf numFmtId="1" fontId="0" fillId="0" borderId="0" xfId="0" applyNumberFormat="1" applyFont="1" applyFill="1" applyBorder="1" applyAlignment="1">
      <alignment horizontal="right"/>
    </xf>
    <xf numFmtId="0" fontId="0" fillId="3" borderId="0" xfId="0" applyFill="1" applyAlignment="1">
      <alignment/>
    </xf>
    <xf numFmtId="0" fontId="13" fillId="0" borderId="2" xfId="0" applyFont="1" applyBorder="1" applyAlignment="1">
      <alignment/>
    </xf>
    <xf numFmtId="0" fontId="0" fillId="0" borderId="5" xfId="0" applyFont="1" applyBorder="1" applyAlignment="1">
      <alignment/>
    </xf>
    <xf numFmtId="0" fontId="0" fillId="0" borderId="6" xfId="0" applyFont="1" applyBorder="1" applyAlignment="1">
      <alignment/>
    </xf>
    <xf numFmtId="0" fontId="14" fillId="0" borderId="6" xfId="0" applyFont="1" applyBorder="1" applyAlignment="1">
      <alignment/>
    </xf>
    <xf numFmtId="0" fontId="0" fillId="0" borderId="7" xfId="0" applyFont="1" applyBorder="1" applyAlignment="1">
      <alignment/>
    </xf>
    <xf numFmtId="0" fontId="15" fillId="0" borderId="8" xfId="0" applyFont="1" applyBorder="1" applyAlignment="1">
      <alignment horizontal="center" wrapText="1"/>
    </xf>
    <xf numFmtId="0" fontId="15" fillId="0" borderId="9" xfId="0" applyFont="1" applyBorder="1" applyAlignment="1">
      <alignment horizontal="center" wrapText="1"/>
    </xf>
    <xf numFmtId="164" fontId="10" fillId="0" borderId="10" xfId="0" applyNumberFormat="1" applyFont="1" applyBorder="1" applyAlignment="1">
      <alignment horizontal="center"/>
    </xf>
    <xf numFmtId="164" fontId="10" fillId="0" borderId="11" xfId="0" applyNumberFormat="1" applyFont="1" applyBorder="1" applyAlignment="1">
      <alignment horizontal="center"/>
    </xf>
    <xf numFmtId="164" fontId="0" fillId="0" borderId="0" xfId="0" applyNumberFormat="1" applyFont="1" applyBorder="1" applyAlignment="1">
      <alignment/>
    </xf>
    <xf numFmtId="164" fontId="10" fillId="0" borderId="0" xfId="0" applyNumberFormat="1" applyFont="1" applyBorder="1" applyAlignment="1">
      <alignment horizontal="center"/>
    </xf>
    <xf numFmtId="164" fontId="10" fillId="0" borderId="12" xfId="0" applyNumberFormat="1" applyFont="1" applyBorder="1" applyAlignment="1">
      <alignment horizontal="center"/>
    </xf>
    <xf numFmtId="164" fontId="10" fillId="0" borderId="2" xfId="0" applyNumberFormat="1" applyFont="1" applyBorder="1" applyAlignment="1">
      <alignment horizontal="center"/>
    </xf>
    <xf numFmtId="164" fontId="10" fillId="0" borderId="13" xfId="0" applyNumberFormat="1" applyFont="1" applyBorder="1" applyAlignment="1">
      <alignment horizontal="center"/>
    </xf>
    <xf numFmtId="164" fontId="0" fillId="0" borderId="10" xfId="0" applyNumberFormat="1" applyFont="1" applyBorder="1" applyAlignment="1">
      <alignment/>
    </xf>
    <xf numFmtId="164" fontId="0" fillId="0" borderId="11" xfId="0" applyNumberFormat="1" applyFont="1" applyBorder="1" applyAlignment="1">
      <alignment/>
    </xf>
    <xf numFmtId="1" fontId="0" fillId="0" borderId="2" xfId="0" applyNumberFormat="1" applyFont="1" applyBorder="1" applyAlignment="1">
      <alignment/>
    </xf>
    <xf numFmtId="1" fontId="0" fillId="0" borderId="13" xfId="0" applyNumberFormat="1" applyFont="1" applyBorder="1" applyAlignment="1">
      <alignment/>
    </xf>
    <xf numFmtId="164" fontId="10" fillId="0" borderId="0" xfId="0" applyNumberFormat="1" applyFont="1" applyFill="1" applyBorder="1" applyAlignment="1">
      <alignment horizontal="center"/>
    </xf>
    <xf numFmtId="0" fontId="0" fillId="0" borderId="12" xfId="0" applyFont="1" applyBorder="1" applyAlignment="1">
      <alignment/>
    </xf>
    <xf numFmtId="0" fontId="1" fillId="0" borderId="12" xfId="0" applyFont="1" applyBorder="1" applyAlignment="1">
      <alignment/>
    </xf>
    <xf numFmtId="0" fontId="0" fillId="0" borderId="14" xfId="0" applyFont="1" applyBorder="1" applyAlignment="1">
      <alignment/>
    </xf>
    <xf numFmtId="170" fontId="10" fillId="0" borderId="0" xfId="0" applyNumberFormat="1" applyFont="1" applyBorder="1" applyAlignment="1">
      <alignment horizontal="center"/>
    </xf>
    <xf numFmtId="2" fontId="10" fillId="0" borderId="0" xfId="0" applyNumberFormat="1" applyFont="1" applyBorder="1" applyAlignment="1">
      <alignment horizontal="center"/>
    </xf>
    <xf numFmtId="2" fontId="10" fillId="0" borderId="2" xfId="0" applyNumberFormat="1" applyFont="1" applyBorder="1" applyAlignment="1">
      <alignment horizontal="center"/>
    </xf>
    <xf numFmtId="170" fontId="0" fillId="0" borderId="0" xfId="0" applyNumberFormat="1" applyFont="1" applyBorder="1" applyAlignment="1">
      <alignment/>
    </xf>
    <xf numFmtId="2" fontId="0" fillId="0" borderId="0" xfId="0" applyNumberFormat="1" applyFont="1" applyBorder="1" applyAlignment="1">
      <alignment/>
    </xf>
    <xf numFmtId="0" fontId="0" fillId="0" borderId="13" xfId="0" applyFont="1" applyBorder="1" applyAlignment="1">
      <alignment/>
    </xf>
    <xf numFmtId="0" fontId="0" fillId="2" borderId="0" xfId="0" applyFill="1" applyAlignment="1">
      <alignment/>
    </xf>
    <xf numFmtId="0" fontId="16" fillId="3" borderId="0" xfId="0" applyFont="1" applyFill="1" applyAlignment="1">
      <alignment/>
    </xf>
    <xf numFmtId="0" fontId="18" fillId="0" borderId="0" xfId="0" applyFont="1" applyFill="1" applyBorder="1" applyAlignment="1">
      <alignment wrapText="1"/>
    </xf>
    <xf numFmtId="0" fontId="19" fillId="0" borderId="0" xfId="0" applyFont="1" applyFill="1" applyBorder="1" applyAlignment="1">
      <alignment horizontal="center"/>
    </xf>
    <xf numFmtId="0" fontId="18" fillId="0" borderId="0"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wrapText="1"/>
    </xf>
    <xf numFmtId="3" fontId="19" fillId="0" borderId="0" xfId="0" applyNumberFormat="1" applyFont="1" applyFill="1" applyBorder="1" applyAlignment="1">
      <alignment horizontal="right"/>
    </xf>
    <xf numFmtId="0" fontId="19" fillId="0" borderId="0" xfId="0" applyFont="1" applyAlignment="1">
      <alignment/>
    </xf>
    <xf numFmtId="0" fontId="18" fillId="0" borderId="15" xfId="0" applyFont="1" applyFill="1" applyBorder="1" applyAlignment="1">
      <alignment/>
    </xf>
    <xf numFmtId="0" fontId="19" fillId="0" borderId="15" xfId="0" applyFont="1" applyFill="1" applyBorder="1" applyAlignment="1">
      <alignment horizontal="center"/>
    </xf>
    <xf numFmtId="0" fontId="19" fillId="0" borderId="15" xfId="0" applyFont="1" applyFill="1" applyBorder="1" applyAlignment="1">
      <alignment/>
    </xf>
    <xf numFmtId="3" fontId="19" fillId="0" borderId="15" xfId="0" applyNumberFormat="1" applyFont="1" applyFill="1" applyBorder="1" applyAlignment="1">
      <alignment horizontal="right"/>
    </xf>
    <xf numFmtId="0" fontId="19" fillId="3" borderId="15" xfId="0" applyFont="1" applyFill="1" applyBorder="1" applyAlignment="1">
      <alignment/>
    </xf>
    <xf numFmtId="0" fontId="19" fillId="0" borderId="0" xfId="0" applyFont="1" applyBorder="1" applyAlignment="1">
      <alignment horizontal="right"/>
    </xf>
    <xf numFmtId="0" fontId="19" fillId="0" borderId="0" xfId="0" applyFont="1" applyBorder="1" applyAlignment="1">
      <alignment horizontal="center"/>
    </xf>
    <xf numFmtId="0" fontId="19" fillId="0" borderId="0" xfId="0" applyFont="1" applyFill="1" applyBorder="1" applyAlignment="1">
      <alignment horizontal="right"/>
    </xf>
    <xf numFmtId="0" fontId="19" fillId="2" borderId="0" xfId="0" applyFont="1" applyFill="1" applyBorder="1" applyAlignment="1">
      <alignment/>
    </xf>
    <xf numFmtId="2" fontId="19" fillId="0" borderId="0" xfId="0" applyNumberFormat="1" applyFont="1" applyFill="1" applyBorder="1" applyAlignment="1">
      <alignment horizontal="right"/>
    </xf>
    <xf numFmtId="1" fontId="18" fillId="0" borderId="0" xfId="0" applyNumberFormat="1" applyFont="1" applyFill="1" applyBorder="1" applyAlignment="1">
      <alignment/>
    </xf>
    <xf numFmtId="0" fontId="19" fillId="3" borderId="0" xfId="0" applyFont="1" applyFill="1" applyBorder="1" applyAlignment="1">
      <alignment/>
    </xf>
    <xf numFmtId="0" fontId="19" fillId="0" borderId="3" xfId="0" applyFont="1" applyBorder="1" applyAlignment="1">
      <alignment horizontal="right"/>
    </xf>
    <xf numFmtId="0" fontId="19" fillId="0" borderId="3" xfId="0" applyFont="1" applyBorder="1" applyAlignment="1">
      <alignment horizontal="center"/>
    </xf>
    <xf numFmtId="9" fontId="18" fillId="0" borderId="0" xfId="0" applyNumberFormat="1" applyFont="1" applyFill="1" applyBorder="1" applyAlignment="1">
      <alignment/>
    </xf>
    <xf numFmtId="1" fontId="19" fillId="0" borderId="0" xfId="0" applyNumberFormat="1" applyFont="1" applyFill="1" applyBorder="1" applyAlignment="1">
      <alignment/>
    </xf>
    <xf numFmtId="9" fontId="18" fillId="0" borderId="3" xfId="0" applyNumberFormat="1" applyFont="1" applyFill="1" applyBorder="1" applyAlignment="1">
      <alignment/>
    </xf>
    <xf numFmtId="0" fontId="19" fillId="0" borderId="3" xfId="0" applyFont="1" applyFill="1" applyBorder="1" applyAlignment="1">
      <alignment horizontal="center"/>
    </xf>
    <xf numFmtId="0" fontId="18" fillId="0" borderId="3" xfId="0" applyFont="1" applyFill="1" applyBorder="1" applyAlignment="1">
      <alignment/>
    </xf>
    <xf numFmtId="0" fontId="19" fillId="0" borderId="3" xfId="0" applyFont="1" applyFill="1" applyBorder="1" applyAlignment="1">
      <alignment/>
    </xf>
    <xf numFmtId="0" fontId="19" fillId="0" borderId="3" xfId="0" applyFont="1" applyFill="1" applyBorder="1" applyAlignment="1">
      <alignment wrapText="1"/>
    </xf>
    <xf numFmtId="3" fontId="19" fillId="0" borderId="3" xfId="0" applyNumberFormat="1" applyFont="1" applyFill="1" applyBorder="1" applyAlignment="1">
      <alignment horizontal="right"/>
    </xf>
    <xf numFmtId="0" fontId="19" fillId="0" borderId="3" xfId="0" applyFont="1" applyFill="1" applyBorder="1" applyAlignment="1">
      <alignment horizontal="right"/>
    </xf>
    <xf numFmtId="0" fontId="19" fillId="2" borderId="3" xfId="0" applyFont="1" applyFill="1" applyBorder="1" applyAlignment="1">
      <alignment/>
    </xf>
    <xf numFmtId="2" fontId="19" fillId="0" borderId="3" xfId="0" applyNumberFormat="1" applyFont="1" applyFill="1" applyBorder="1" applyAlignment="1">
      <alignment horizontal="right"/>
    </xf>
    <xf numFmtId="1" fontId="19" fillId="0" borderId="3" xfId="0" applyNumberFormat="1" applyFont="1" applyFill="1" applyBorder="1" applyAlignment="1">
      <alignment/>
    </xf>
    <xf numFmtId="0" fontId="19" fillId="3" borderId="3" xfId="0" applyFont="1" applyFill="1" applyBorder="1" applyAlignment="1">
      <alignment/>
    </xf>
    <xf numFmtId="1" fontId="19" fillId="0" borderId="0" xfId="0" applyNumberFormat="1" applyFont="1" applyFill="1" applyBorder="1" applyAlignment="1">
      <alignment horizontal="right"/>
    </xf>
    <xf numFmtId="9" fontId="19" fillId="0" borderId="0" xfId="0" applyNumberFormat="1" applyFont="1" applyFill="1" applyBorder="1" applyAlignment="1">
      <alignment/>
    </xf>
    <xf numFmtId="9" fontId="19" fillId="0" borderId="3" xfId="0" applyNumberFormat="1" applyFont="1" applyFill="1" applyBorder="1" applyAlignment="1">
      <alignment/>
    </xf>
    <xf numFmtId="1" fontId="19" fillId="0" borderId="3" xfId="0" applyNumberFormat="1" applyFont="1" applyFill="1" applyBorder="1" applyAlignment="1">
      <alignment horizontal="right"/>
    </xf>
    <xf numFmtId="0" fontId="18" fillId="0" borderId="0" xfId="0" applyFont="1" applyBorder="1" applyAlignment="1">
      <alignment wrapText="1"/>
    </xf>
    <xf numFmtId="0" fontId="19" fillId="0" borderId="0" xfId="0" applyFont="1" applyBorder="1" applyAlignment="1">
      <alignment horizontal="center" wrapText="1"/>
    </xf>
    <xf numFmtId="0" fontId="18" fillId="0" borderId="0" xfId="0" applyFont="1" applyBorder="1" applyAlignment="1">
      <alignment/>
    </xf>
    <xf numFmtId="0" fontId="19" fillId="0" borderId="0" xfId="0" applyFont="1" applyBorder="1" applyAlignment="1">
      <alignment/>
    </xf>
    <xf numFmtId="3" fontId="19" fillId="0" borderId="0" xfId="0" applyNumberFormat="1" applyFont="1" applyBorder="1" applyAlignment="1">
      <alignment horizontal="right"/>
    </xf>
    <xf numFmtId="166" fontId="19" fillId="0" borderId="0" xfId="0" applyNumberFormat="1" applyFont="1" applyBorder="1" applyAlignment="1">
      <alignment horizontal="right"/>
    </xf>
    <xf numFmtId="167" fontId="19" fillId="0" borderId="0" xfId="0" applyNumberFormat="1" applyFont="1" applyBorder="1" applyAlignment="1">
      <alignment horizontal="right"/>
    </xf>
    <xf numFmtId="2" fontId="19" fillId="0" borderId="0" xfId="0" applyNumberFormat="1" applyFont="1" applyBorder="1" applyAlignment="1">
      <alignment horizontal="right"/>
    </xf>
    <xf numFmtId="0" fontId="18" fillId="0" borderId="3" xfId="0" applyFont="1" applyBorder="1" applyAlignment="1">
      <alignment wrapText="1"/>
    </xf>
    <xf numFmtId="0" fontId="18" fillId="0" borderId="3" xfId="0" applyFont="1" applyBorder="1" applyAlignment="1">
      <alignment/>
    </xf>
    <xf numFmtId="0" fontId="19" fillId="0" borderId="3" xfId="0" applyFont="1" applyBorder="1" applyAlignment="1">
      <alignment/>
    </xf>
    <xf numFmtId="3" fontId="19" fillId="0" borderId="3" xfId="0" applyNumberFormat="1" applyFont="1" applyBorder="1" applyAlignment="1">
      <alignment horizontal="right"/>
    </xf>
    <xf numFmtId="166" fontId="19" fillId="0" borderId="3" xfId="0" applyNumberFormat="1" applyFont="1" applyBorder="1" applyAlignment="1">
      <alignment horizontal="right"/>
    </xf>
    <xf numFmtId="167" fontId="19" fillId="0" borderId="3" xfId="0" applyNumberFormat="1" applyFont="1" applyBorder="1" applyAlignment="1">
      <alignment horizontal="right"/>
    </xf>
    <xf numFmtId="2" fontId="19" fillId="0" borderId="3" xfId="0" applyNumberFormat="1" applyFont="1" applyBorder="1" applyAlignment="1">
      <alignment horizontal="right"/>
    </xf>
    <xf numFmtId="0" fontId="0" fillId="0" borderId="0" xfId="0" applyBorder="1" applyAlignment="1">
      <alignment/>
    </xf>
    <xf numFmtId="3" fontId="0" fillId="0" borderId="0" xfId="0" applyNumberFormat="1" applyFont="1" applyFill="1" applyBorder="1" applyAlignment="1">
      <alignment horizontal="right"/>
    </xf>
    <xf numFmtId="0" fontId="16" fillId="3" borderId="0" xfId="0" applyFont="1" applyFill="1" applyBorder="1" applyAlignment="1">
      <alignment/>
    </xf>
    <xf numFmtId="169" fontId="0" fillId="0" borderId="0" xfId="0" applyNumberFormat="1" applyFont="1" applyFill="1" applyBorder="1" applyAlignment="1">
      <alignment horizontal="right"/>
    </xf>
    <xf numFmtId="0" fontId="0" fillId="0" borderId="0" xfId="0" applyFill="1" applyBorder="1" applyAlignment="1">
      <alignment horizontal="right"/>
    </xf>
    <xf numFmtId="170" fontId="19" fillId="0" borderId="0" xfId="0" applyNumberFormat="1" applyFont="1" applyBorder="1" applyAlignment="1">
      <alignment horizontal="right"/>
    </xf>
    <xf numFmtId="170" fontId="19" fillId="0" borderId="3" xfId="0" applyNumberFormat="1" applyFont="1" applyBorder="1" applyAlignment="1">
      <alignment horizontal="right"/>
    </xf>
    <xf numFmtId="0" fontId="1" fillId="0" borderId="0" xfId="0" applyFont="1" applyFill="1" applyBorder="1" applyAlignment="1">
      <alignment wrapText="1"/>
    </xf>
    <xf numFmtId="0" fontId="0" fillId="0" borderId="0" xfId="0" applyFont="1" applyFill="1" applyBorder="1" applyAlignment="1">
      <alignment horizontal="center" wrapText="1"/>
    </xf>
    <xf numFmtId="11" fontId="0" fillId="0" borderId="0" xfId="0" applyNumberFormat="1" applyFont="1" applyFill="1" applyBorder="1" applyAlignment="1">
      <alignment horizontal="right"/>
    </xf>
    <xf numFmtId="168" fontId="0" fillId="0" borderId="0" xfId="0" applyNumberFormat="1" applyFont="1" applyFill="1" applyBorder="1" applyAlignment="1">
      <alignment horizontal="right"/>
    </xf>
    <xf numFmtId="0" fontId="4" fillId="0" borderId="0" xfId="0" applyFont="1" applyFill="1" applyBorder="1" applyAlignment="1">
      <alignment/>
    </xf>
    <xf numFmtId="3" fontId="0" fillId="0" borderId="0" xfId="0" applyNumberFormat="1" applyFont="1" applyFill="1" applyBorder="1" applyAlignment="1">
      <alignment horizontal="right"/>
    </xf>
    <xf numFmtId="0" fontId="19" fillId="0" borderId="0" xfId="0" applyFont="1" applyFill="1" applyBorder="1" applyAlignment="1">
      <alignment horizontal="center" wrapText="1"/>
    </xf>
    <xf numFmtId="166" fontId="19" fillId="0" borderId="0" xfId="0" applyNumberFormat="1" applyFont="1" applyFill="1" applyBorder="1" applyAlignment="1">
      <alignment horizontal="right"/>
    </xf>
    <xf numFmtId="167" fontId="19" fillId="0" borderId="0" xfId="0" applyNumberFormat="1" applyFont="1" applyFill="1" applyBorder="1" applyAlignment="1">
      <alignment horizontal="right"/>
    </xf>
    <xf numFmtId="0" fontId="0" fillId="0" borderId="0" xfId="0" applyFill="1" applyBorder="1" applyAlignment="1">
      <alignment/>
    </xf>
    <xf numFmtId="0" fontId="0" fillId="2" borderId="0" xfId="0" applyFill="1" applyBorder="1" applyAlignment="1">
      <alignment/>
    </xf>
    <xf numFmtId="0" fontId="1" fillId="0" borderId="0" xfId="0" applyFont="1" applyFill="1" applyAlignment="1">
      <alignment vertical="top" wrapText="1"/>
    </xf>
    <xf numFmtId="0" fontId="0" fillId="0" borderId="0" xfId="0" applyFont="1" applyFill="1" applyAlignment="1">
      <alignment horizontal="right" vertical="top"/>
    </xf>
    <xf numFmtId="0" fontId="1"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3" fontId="0" fillId="0" borderId="0" xfId="0" applyNumberFormat="1" applyFill="1" applyAlignment="1">
      <alignment vertical="top"/>
    </xf>
    <xf numFmtId="0" fontId="0" fillId="0" borderId="0" xfId="0" applyFill="1" applyAlignment="1">
      <alignment/>
    </xf>
    <xf numFmtId="0" fontId="0" fillId="0" borderId="0" xfId="0" applyFill="1" applyAlignment="1">
      <alignment vertical="top"/>
    </xf>
    <xf numFmtId="0" fontId="1" fillId="0" borderId="0" xfId="0" applyFont="1" applyFill="1" applyAlignment="1">
      <alignment wrapText="1"/>
    </xf>
    <xf numFmtId="0" fontId="0"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0" fontId="1" fillId="0" borderId="0" xfId="0" applyFont="1" applyFill="1" applyAlignment="1">
      <alignment/>
    </xf>
    <xf numFmtId="0" fontId="0" fillId="0" borderId="0" xfId="0" applyFont="1" applyFill="1" applyAlignment="1">
      <alignment wrapText="1"/>
    </xf>
    <xf numFmtId="0" fontId="1" fillId="0" borderId="3" xfId="0" applyFont="1" applyFill="1" applyBorder="1" applyAlignment="1">
      <alignment wrapText="1"/>
    </xf>
    <xf numFmtId="0" fontId="0" fillId="0" borderId="3" xfId="0" applyFont="1" applyFill="1" applyBorder="1" applyAlignment="1">
      <alignment horizontal="right"/>
    </xf>
    <xf numFmtId="0" fontId="0" fillId="0" borderId="3" xfId="0" applyFont="1" applyFill="1" applyBorder="1" applyAlignment="1">
      <alignment wrapText="1"/>
    </xf>
    <xf numFmtId="0" fontId="1" fillId="0" borderId="1" xfId="0" applyFont="1" applyBorder="1" applyAlignment="1">
      <alignment wrapText="1"/>
    </xf>
    <xf numFmtId="3" fontId="1" fillId="0" borderId="1" xfId="0" applyNumberFormat="1" applyFont="1" applyBorder="1" applyAlignment="1">
      <alignment horizontal="right" wrapText="1"/>
    </xf>
    <xf numFmtId="0" fontId="2" fillId="4" borderId="1" xfId="0" applyFont="1" applyFill="1" applyBorder="1" applyAlignment="1">
      <alignment wrapText="1"/>
    </xf>
    <xf numFmtId="0" fontId="1" fillId="0" borderId="16" xfId="0" applyFont="1" applyFill="1" applyBorder="1" applyAlignment="1">
      <alignment wrapText="1"/>
    </xf>
    <xf numFmtId="0" fontId="0" fillId="0" borderId="16" xfId="0" applyFont="1" applyFill="1" applyBorder="1" applyAlignment="1">
      <alignment horizontal="center"/>
    </xf>
    <xf numFmtId="0" fontId="1" fillId="0" borderId="16" xfId="0" applyFont="1" applyFill="1" applyBorder="1" applyAlignment="1">
      <alignment/>
    </xf>
    <xf numFmtId="0" fontId="0" fillId="0" borderId="16" xfId="0" applyFont="1" applyFill="1" applyBorder="1" applyAlignment="1">
      <alignment/>
    </xf>
    <xf numFmtId="0" fontId="0" fillId="0" borderId="16" xfId="0" applyFont="1" applyFill="1" applyBorder="1" applyAlignment="1">
      <alignment wrapText="1"/>
    </xf>
    <xf numFmtId="3" fontId="0" fillId="0" borderId="16" xfId="0" applyNumberFormat="1" applyFont="1" applyFill="1" applyBorder="1" applyAlignment="1">
      <alignment horizontal="right"/>
    </xf>
    <xf numFmtId="0" fontId="0" fillId="0" borderId="16" xfId="0" applyFont="1" applyFill="1" applyBorder="1" applyAlignment="1">
      <alignment horizontal="right"/>
    </xf>
    <xf numFmtId="0" fontId="3" fillId="2" borderId="16" xfId="0" applyFont="1" applyFill="1" applyBorder="1" applyAlignment="1">
      <alignment/>
    </xf>
    <xf numFmtId="2" fontId="0" fillId="0" borderId="16" xfId="0" applyNumberFormat="1" applyFont="1" applyFill="1" applyBorder="1" applyAlignment="1">
      <alignment horizontal="right"/>
    </xf>
    <xf numFmtId="1" fontId="0" fillId="0" borderId="16" xfId="0" applyNumberFormat="1" applyFont="1" applyFill="1" applyBorder="1" applyAlignment="1">
      <alignment horizontal="right"/>
    </xf>
    <xf numFmtId="10" fontId="0" fillId="0" borderId="16" xfId="0" applyNumberFormat="1" applyFont="1" applyBorder="1" applyAlignment="1">
      <alignment horizontal="right"/>
    </xf>
    <xf numFmtId="10" fontId="0" fillId="0" borderId="16" xfId="0" applyNumberFormat="1" applyFont="1" applyBorder="1" applyAlignment="1">
      <alignment horizontal="center"/>
    </xf>
    <xf numFmtId="0" fontId="0" fillId="0" borderId="16" xfId="0" applyFont="1" applyBorder="1" applyAlignment="1">
      <alignment horizontal="right"/>
    </xf>
    <xf numFmtId="0" fontId="0" fillId="0" borderId="16" xfId="0" applyFont="1" applyBorder="1" applyAlignment="1">
      <alignment/>
    </xf>
    <xf numFmtId="0" fontId="0" fillId="0" borderId="3" xfId="0" applyFont="1" applyFill="1" applyBorder="1" applyAlignment="1">
      <alignment horizontal="center"/>
    </xf>
    <xf numFmtId="3" fontId="0" fillId="0" borderId="3" xfId="0" applyNumberFormat="1" applyFont="1" applyFill="1" applyBorder="1" applyAlignment="1">
      <alignment horizontal="right"/>
    </xf>
    <xf numFmtId="0" fontId="0" fillId="0" borderId="3" xfId="0" applyFont="1" applyFill="1" applyBorder="1" applyAlignment="1">
      <alignment horizontal="right"/>
    </xf>
    <xf numFmtId="0" fontId="3" fillId="2" borderId="3" xfId="0" applyFont="1" applyFill="1" applyBorder="1" applyAlignment="1">
      <alignment/>
    </xf>
    <xf numFmtId="2" fontId="0" fillId="0" borderId="3" xfId="0" applyNumberFormat="1" applyFont="1" applyFill="1" applyBorder="1" applyAlignment="1">
      <alignment horizontal="right"/>
    </xf>
    <xf numFmtId="1" fontId="0" fillId="0" borderId="3" xfId="0" applyNumberFormat="1" applyFont="1" applyFill="1" applyBorder="1" applyAlignment="1">
      <alignment horizontal="right"/>
    </xf>
    <xf numFmtId="0" fontId="0" fillId="0" borderId="3" xfId="0" applyFont="1" applyFill="1" applyBorder="1" applyAlignment="1">
      <alignment/>
    </xf>
    <xf numFmtId="0" fontId="1" fillId="0" borderId="15" xfId="0" applyFont="1" applyFill="1" applyBorder="1" applyAlignment="1">
      <alignment wrapText="1"/>
    </xf>
    <xf numFmtId="0" fontId="0" fillId="0" borderId="15" xfId="0" applyFont="1" applyFill="1" applyBorder="1" applyAlignment="1">
      <alignment horizontal="center" wrapText="1"/>
    </xf>
    <xf numFmtId="0" fontId="1" fillId="0" borderId="15"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wrapText="1"/>
    </xf>
    <xf numFmtId="3" fontId="0" fillId="0" borderId="15" xfId="0" applyNumberFormat="1" applyFont="1" applyFill="1" applyBorder="1" applyAlignment="1">
      <alignment horizontal="right"/>
    </xf>
    <xf numFmtId="0" fontId="0" fillId="0" borderId="15" xfId="0" applyFont="1" applyFill="1" applyBorder="1" applyAlignment="1">
      <alignment horizontal="right"/>
    </xf>
    <xf numFmtId="0" fontId="3" fillId="2" borderId="15" xfId="0" applyFont="1" applyFill="1" applyBorder="1" applyAlignment="1">
      <alignment/>
    </xf>
    <xf numFmtId="0" fontId="0" fillId="0" borderId="15" xfId="0" applyFont="1" applyFill="1" applyBorder="1" applyAlignment="1">
      <alignment horizontal="right"/>
    </xf>
    <xf numFmtId="2" fontId="0" fillId="0" borderId="15" xfId="0" applyNumberFormat="1" applyFont="1" applyFill="1" applyBorder="1" applyAlignment="1">
      <alignment horizontal="right"/>
    </xf>
    <xf numFmtId="1" fontId="0" fillId="0" borderId="15" xfId="0" applyNumberFormat="1" applyFont="1" applyFill="1" applyBorder="1" applyAlignment="1">
      <alignment horizontal="right"/>
    </xf>
    <xf numFmtId="0" fontId="0" fillId="0" borderId="15" xfId="0" applyFont="1" applyFill="1" applyBorder="1" applyAlignment="1">
      <alignment/>
    </xf>
    <xf numFmtId="10" fontId="0" fillId="0" borderId="15" xfId="0" applyNumberFormat="1" applyFont="1" applyBorder="1" applyAlignment="1">
      <alignment horizontal="right"/>
    </xf>
    <xf numFmtId="10" fontId="0" fillId="0" borderId="15" xfId="0" applyNumberFormat="1" applyFont="1" applyBorder="1" applyAlignment="1">
      <alignment horizontal="center"/>
    </xf>
    <xf numFmtId="0" fontId="0" fillId="0" borderId="15" xfId="0" applyFont="1" applyBorder="1" applyAlignment="1">
      <alignment horizontal="right"/>
    </xf>
    <xf numFmtId="0" fontId="0" fillId="0" borderId="15" xfId="0" applyFont="1" applyBorder="1" applyAlignment="1">
      <alignment/>
    </xf>
    <xf numFmtId="0" fontId="0" fillId="0" borderId="3" xfId="0" applyFont="1" applyFill="1" applyBorder="1" applyAlignment="1">
      <alignment horizontal="center" wrapText="1"/>
    </xf>
    <xf numFmtId="0" fontId="0" fillId="0" borderId="15" xfId="0" applyFont="1" applyBorder="1" applyAlignment="1">
      <alignment horizontal="center"/>
    </xf>
    <xf numFmtId="0" fontId="1" fillId="0" borderId="17" xfId="0"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wrapText="1"/>
    </xf>
    <xf numFmtId="3" fontId="0" fillId="0" borderId="17" xfId="0" applyNumberFormat="1" applyFont="1" applyFill="1" applyBorder="1" applyAlignment="1">
      <alignment horizontal="right"/>
    </xf>
    <xf numFmtId="0" fontId="0" fillId="0" borderId="17" xfId="0" applyFont="1" applyFill="1" applyBorder="1" applyAlignment="1">
      <alignment horizontal="right"/>
    </xf>
    <xf numFmtId="0" fontId="0" fillId="0" borderId="17" xfId="0" applyFont="1" applyFill="1" applyBorder="1" applyAlignment="1">
      <alignment horizontal="right"/>
    </xf>
    <xf numFmtId="0" fontId="3" fillId="2" borderId="17" xfId="0" applyFont="1" applyFill="1" applyBorder="1" applyAlignment="1">
      <alignment/>
    </xf>
    <xf numFmtId="2" fontId="0" fillId="0" borderId="17" xfId="0" applyNumberFormat="1" applyFont="1" applyFill="1" applyBorder="1" applyAlignment="1">
      <alignment horizontal="right"/>
    </xf>
    <xf numFmtId="1" fontId="0" fillId="0" borderId="17" xfId="0" applyNumberFormat="1" applyFont="1" applyFill="1" applyBorder="1" applyAlignment="1">
      <alignment horizontal="right"/>
    </xf>
    <xf numFmtId="0" fontId="0" fillId="0" borderId="17" xfId="0" applyFont="1" applyFill="1" applyBorder="1" applyAlignment="1">
      <alignment/>
    </xf>
    <xf numFmtId="10" fontId="0" fillId="0" borderId="17" xfId="0" applyNumberFormat="1" applyFont="1" applyBorder="1" applyAlignment="1">
      <alignment horizontal="right"/>
    </xf>
    <xf numFmtId="10" fontId="0" fillId="0" borderId="17" xfId="0" applyNumberFormat="1" applyFont="1" applyBorder="1" applyAlignment="1">
      <alignment horizontal="center"/>
    </xf>
    <xf numFmtId="0" fontId="0" fillId="0" borderId="17" xfId="0" applyFont="1" applyBorder="1" applyAlignment="1">
      <alignment horizontal="right"/>
    </xf>
    <xf numFmtId="0" fontId="0" fillId="0" borderId="17" xfId="0" applyFont="1" applyBorder="1" applyAlignment="1">
      <alignment/>
    </xf>
    <xf numFmtId="11" fontId="0" fillId="0" borderId="15" xfId="0" applyNumberFormat="1" applyFont="1" applyFill="1" applyBorder="1" applyAlignment="1">
      <alignment horizontal="right"/>
    </xf>
    <xf numFmtId="168" fontId="0" fillId="0" borderId="15" xfId="0" applyNumberFormat="1" applyFont="1" applyFill="1" applyBorder="1" applyAlignment="1">
      <alignment horizontal="right"/>
    </xf>
    <xf numFmtId="11" fontId="0" fillId="0" borderId="17" xfId="0" applyNumberFormat="1" applyFont="1" applyFill="1" applyBorder="1" applyAlignment="1">
      <alignment horizontal="right"/>
    </xf>
    <xf numFmtId="0" fontId="0" fillId="0" borderId="17" xfId="0" applyFont="1" applyBorder="1" applyAlignment="1">
      <alignment horizontal="center"/>
    </xf>
    <xf numFmtId="0" fontId="4" fillId="0" borderId="18" xfId="0" applyFont="1" applyFill="1" applyBorder="1" applyAlignment="1">
      <alignment/>
    </xf>
    <xf numFmtId="0" fontId="5" fillId="0" borderId="18" xfId="0" applyFont="1" applyFill="1" applyBorder="1" applyAlignment="1">
      <alignment/>
    </xf>
    <xf numFmtId="3" fontId="5" fillId="0" borderId="18" xfId="0" applyNumberFormat="1" applyFont="1" applyFill="1" applyBorder="1" applyAlignment="1">
      <alignment horizontal="right"/>
    </xf>
    <xf numFmtId="0" fontId="5" fillId="0" borderId="18" xfId="0" applyFont="1" applyFill="1" applyBorder="1" applyAlignment="1">
      <alignment horizontal="right"/>
    </xf>
    <xf numFmtId="0" fontId="5" fillId="2" borderId="18" xfId="0" applyFont="1" applyFill="1" applyBorder="1" applyAlignment="1">
      <alignment/>
    </xf>
    <xf numFmtId="1" fontId="0" fillId="0" borderId="18" xfId="0" applyNumberFormat="1" applyFont="1" applyFill="1" applyBorder="1" applyAlignment="1">
      <alignment horizontal="right"/>
    </xf>
    <xf numFmtId="0" fontId="0" fillId="0" borderId="18" xfId="0" applyFont="1" applyFill="1" applyBorder="1" applyAlignment="1">
      <alignment horizontal="right"/>
    </xf>
    <xf numFmtId="10" fontId="0" fillId="0" borderId="18" xfId="0" applyNumberFormat="1" applyFont="1" applyBorder="1" applyAlignment="1">
      <alignment horizontal="right"/>
    </xf>
    <xf numFmtId="0" fontId="0" fillId="0" borderId="18" xfId="0" applyFont="1" applyBorder="1" applyAlignment="1">
      <alignment horizontal="center"/>
    </xf>
    <xf numFmtId="0" fontId="0" fillId="0" borderId="18" xfId="0" applyFont="1" applyBorder="1" applyAlignment="1">
      <alignment horizontal="right"/>
    </xf>
    <xf numFmtId="0" fontId="0" fillId="0" borderId="18" xfId="0" applyFont="1" applyBorder="1" applyAlignment="1">
      <alignment/>
    </xf>
    <xf numFmtId="0" fontId="4" fillId="0" borderId="3" xfId="0" applyFont="1" applyFill="1" applyBorder="1" applyAlignment="1">
      <alignment/>
    </xf>
    <xf numFmtId="0" fontId="5" fillId="0" borderId="3" xfId="0" applyFont="1" applyFill="1" applyBorder="1" applyAlignment="1">
      <alignment/>
    </xf>
    <xf numFmtId="3" fontId="5" fillId="0" borderId="3" xfId="0" applyNumberFormat="1" applyFont="1" applyFill="1" applyBorder="1" applyAlignment="1">
      <alignment horizontal="right"/>
    </xf>
    <xf numFmtId="0" fontId="5" fillId="0" borderId="3" xfId="0" applyFont="1" applyFill="1" applyBorder="1" applyAlignment="1">
      <alignment horizontal="right"/>
    </xf>
    <xf numFmtId="0" fontId="5" fillId="2" borderId="3" xfId="0" applyFont="1" applyFill="1" applyBorder="1" applyAlignment="1">
      <alignment/>
    </xf>
    <xf numFmtId="0" fontId="0" fillId="0" borderId="3" xfId="0" applyFont="1" applyFill="1" applyBorder="1" applyAlignment="1">
      <alignment horizontal="right" wrapText="1"/>
    </xf>
    <xf numFmtId="0" fontId="4" fillId="0" borderId="3" xfId="0" applyFont="1" applyFill="1" applyBorder="1" applyAlignment="1">
      <alignment wrapText="1"/>
    </xf>
    <xf numFmtId="0" fontId="5" fillId="0" borderId="3" xfId="0" applyFont="1" applyFill="1" applyBorder="1" applyAlignment="1">
      <alignment horizontal="center" wrapText="1"/>
    </xf>
    <xf numFmtId="0" fontId="0" fillId="0" borderId="17" xfId="0" applyFont="1" applyFill="1" applyBorder="1" applyAlignment="1">
      <alignment horizontal="right" wrapText="1"/>
    </xf>
    <xf numFmtId="0" fontId="0" fillId="0" borderId="15" xfId="0" applyFont="1" applyFill="1" applyBorder="1" applyAlignment="1">
      <alignment horizontal="center"/>
    </xf>
    <xf numFmtId="0" fontId="4" fillId="0" borderId="15" xfId="0" applyFont="1" applyFill="1" applyBorder="1" applyAlignment="1">
      <alignment/>
    </xf>
    <xf numFmtId="3" fontId="0" fillId="0" borderId="15" xfId="0" applyNumberFormat="1" applyFont="1" applyFill="1" applyBorder="1" applyAlignment="1">
      <alignment horizontal="right"/>
    </xf>
    <xf numFmtId="1" fontId="3" fillId="2" borderId="15" xfId="0" applyNumberFormat="1" applyFont="1" applyFill="1" applyBorder="1" applyAlignment="1">
      <alignment/>
    </xf>
    <xf numFmtId="0" fontId="4" fillId="0" borderId="17" xfId="0" applyFont="1" applyFill="1" applyBorder="1" applyAlignment="1">
      <alignment/>
    </xf>
    <xf numFmtId="3" fontId="0" fillId="0" borderId="17" xfId="0" applyNumberFormat="1" applyFont="1" applyFill="1" applyBorder="1" applyAlignment="1">
      <alignment horizontal="right"/>
    </xf>
    <xf numFmtId="1" fontId="18" fillId="0" borderId="3" xfId="0" applyNumberFormat="1" applyFont="1" applyFill="1" applyBorder="1" applyAlignment="1">
      <alignment/>
    </xf>
    <xf numFmtId="0" fontId="18" fillId="0" borderId="3" xfId="0" applyFont="1" applyFill="1" applyBorder="1" applyAlignment="1">
      <alignment wrapText="1"/>
    </xf>
    <xf numFmtId="166" fontId="19" fillId="0" borderId="3" xfId="0" applyNumberFormat="1" applyFont="1" applyFill="1" applyBorder="1" applyAlignment="1">
      <alignment horizontal="right"/>
    </xf>
    <xf numFmtId="167" fontId="19" fillId="0" borderId="3" xfId="0" applyNumberFormat="1" applyFont="1" applyFill="1" applyBorder="1" applyAlignment="1">
      <alignment horizontal="right"/>
    </xf>
    <xf numFmtId="0" fontId="0" fillId="0" borderId="3" xfId="0" applyBorder="1" applyAlignment="1">
      <alignment/>
    </xf>
    <xf numFmtId="0" fontId="0" fillId="0" borderId="3" xfId="0" applyFont="1" applyFill="1" applyBorder="1" applyAlignment="1">
      <alignment vertical="top" wrapText="1"/>
    </xf>
    <xf numFmtId="3" fontId="0" fillId="0" borderId="3" xfId="0" applyNumberFormat="1" applyFill="1" applyBorder="1" applyAlignment="1">
      <alignment/>
    </xf>
    <xf numFmtId="0" fontId="0" fillId="0" borderId="3" xfId="0" applyFill="1" applyBorder="1" applyAlignment="1">
      <alignment/>
    </xf>
    <xf numFmtId="0" fontId="0" fillId="0" borderId="3" xfId="0" applyFill="1" applyBorder="1" applyAlignment="1">
      <alignment vertical="top"/>
    </xf>
    <xf numFmtId="0" fontId="0" fillId="2" borderId="3" xfId="0" applyFill="1" applyBorder="1" applyAlignment="1">
      <alignment/>
    </xf>
    <xf numFmtId="3" fontId="0" fillId="0" borderId="17" xfId="0" applyNumberFormat="1" applyFill="1" applyBorder="1" applyAlignment="1">
      <alignment/>
    </xf>
    <xf numFmtId="0" fontId="0" fillId="0" borderId="17" xfId="0" applyFill="1" applyBorder="1" applyAlignment="1">
      <alignment/>
    </xf>
    <xf numFmtId="0" fontId="0" fillId="0" borderId="17" xfId="0" applyFill="1" applyBorder="1" applyAlignment="1">
      <alignment vertical="top"/>
    </xf>
    <xf numFmtId="0" fontId="0" fillId="2" borderId="17" xfId="0" applyFill="1" applyBorder="1" applyAlignment="1">
      <alignment/>
    </xf>
    <xf numFmtId="0" fontId="0" fillId="0" borderId="17" xfId="0" applyBorder="1" applyAlignment="1">
      <alignment/>
    </xf>
    <xf numFmtId="0" fontId="19" fillId="0" borderId="17" xfId="0" applyFont="1" applyFill="1" applyBorder="1" applyAlignment="1">
      <alignment/>
    </xf>
    <xf numFmtId="0" fontId="19" fillId="0" borderId="17" xfId="0" applyFont="1" applyBorder="1" applyAlignment="1">
      <alignment/>
    </xf>
    <xf numFmtId="0" fontId="0" fillId="3" borderId="3" xfId="0" applyFill="1" applyBorder="1" applyAlignment="1">
      <alignment/>
    </xf>
    <xf numFmtId="0" fontId="0" fillId="0" borderId="3" xfId="0" applyFont="1" applyBorder="1" applyAlignment="1">
      <alignment horizontal="center" wrapText="1"/>
    </xf>
    <xf numFmtId="165" fontId="0" fillId="0" borderId="3" xfId="0" applyNumberFormat="1" applyFont="1" applyBorder="1" applyAlignment="1">
      <alignment horizontal="right"/>
    </xf>
    <xf numFmtId="167" fontId="0" fillId="0" borderId="3" xfId="0" applyNumberFormat="1" applyFont="1" applyBorder="1" applyAlignment="1">
      <alignment horizontal="right"/>
    </xf>
    <xf numFmtId="164" fontId="0" fillId="0" borderId="0" xfId="0" applyNumberFormat="1" applyFont="1" applyBorder="1" applyAlignment="1">
      <alignment horizontal="right"/>
    </xf>
    <xf numFmtId="2" fontId="1" fillId="0" borderId="1" xfId="0" applyNumberFormat="1" applyFont="1" applyBorder="1" applyAlignment="1">
      <alignment horizontal="right" wrapText="1"/>
    </xf>
    <xf numFmtId="0" fontId="0" fillId="3" borderId="1" xfId="0" applyFill="1" applyBorder="1" applyAlignment="1">
      <alignment/>
    </xf>
    <xf numFmtId="0" fontId="0" fillId="0" borderId="15" xfId="0" applyBorder="1" applyAlignment="1">
      <alignment/>
    </xf>
    <xf numFmtId="0" fontId="0" fillId="0" borderId="1" xfId="0" applyBorder="1" applyAlignment="1">
      <alignment/>
    </xf>
    <xf numFmtId="0" fontId="17" fillId="5" borderId="1" xfId="0" applyFont="1" applyFill="1" applyBorder="1" applyAlignment="1">
      <alignment wrapText="1"/>
    </xf>
    <xf numFmtId="0" fontId="1" fillId="0" borderId="19" xfId="0" applyFont="1" applyBorder="1" applyAlignment="1">
      <alignment wrapText="1"/>
    </xf>
    <xf numFmtId="0" fontId="0" fillId="0" borderId="19" xfId="0" applyFont="1" applyBorder="1" applyAlignment="1">
      <alignment horizontal="center"/>
    </xf>
    <xf numFmtId="0" fontId="1" fillId="0" borderId="19" xfId="0" applyFont="1" applyBorder="1" applyAlignment="1">
      <alignment/>
    </xf>
    <xf numFmtId="0" fontId="0" fillId="0" borderId="19" xfId="0" applyFont="1" applyBorder="1" applyAlignment="1">
      <alignment/>
    </xf>
    <xf numFmtId="3" fontId="0" fillId="0" borderId="19" xfId="0" applyNumberFormat="1" applyFont="1" applyBorder="1" applyAlignment="1">
      <alignment horizontal="right"/>
    </xf>
    <xf numFmtId="0" fontId="16" fillId="3" borderId="19" xfId="0" applyFont="1" applyFill="1" applyBorder="1" applyAlignment="1">
      <alignment/>
    </xf>
    <xf numFmtId="0" fontId="0" fillId="0" borderId="19" xfId="0" applyFont="1" applyFill="1" applyBorder="1" applyAlignment="1">
      <alignment/>
    </xf>
    <xf numFmtId="0" fontId="0" fillId="0" borderId="19" xfId="0" applyBorder="1" applyAlignment="1">
      <alignment/>
    </xf>
    <xf numFmtId="0" fontId="18" fillId="0" borderId="15" xfId="0" applyFont="1" applyFill="1" applyBorder="1" applyAlignment="1">
      <alignment wrapText="1"/>
    </xf>
    <xf numFmtId="0" fontId="0" fillId="0" borderId="20" xfId="0" applyFont="1" applyFill="1" applyBorder="1" applyAlignment="1">
      <alignment horizontal="center"/>
    </xf>
    <xf numFmtId="0" fontId="1" fillId="0" borderId="20" xfId="0" applyFont="1" applyFill="1" applyBorder="1" applyAlignment="1">
      <alignment/>
    </xf>
    <xf numFmtId="0" fontId="0" fillId="0" borderId="20" xfId="0" applyFont="1" applyFill="1" applyBorder="1" applyAlignment="1">
      <alignment/>
    </xf>
    <xf numFmtId="0" fontId="0" fillId="0" borderId="20" xfId="0" applyFont="1" applyFill="1" applyBorder="1" applyAlignment="1">
      <alignment wrapText="1"/>
    </xf>
    <xf numFmtId="3" fontId="0" fillId="0" borderId="20" xfId="0" applyNumberFormat="1" applyFont="1" applyFill="1" applyBorder="1" applyAlignment="1">
      <alignment horizontal="right"/>
    </xf>
    <xf numFmtId="0" fontId="16" fillId="3" borderId="20" xfId="0" applyFont="1" applyFill="1" applyBorder="1" applyAlignment="1">
      <alignment/>
    </xf>
    <xf numFmtId="0" fontId="0" fillId="0" borderId="20" xfId="0" applyBorder="1" applyAlignment="1">
      <alignment/>
    </xf>
    <xf numFmtId="0" fontId="0" fillId="0" borderId="20" xfId="0" applyFont="1" applyBorder="1" applyAlignment="1">
      <alignment horizontal="center"/>
    </xf>
    <xf numFmtId="0" fontId="0" fillId="0" borderId="20" xfId="0" applyFont="1" applyBorder="1" applyAlignment="1">
      <alignment horizontal="right"/>
    </xf>
    <xf numFmtId="169" fontId="0" fillId="0" borderId="20" xfId="0" applyNumberFormat="1" applyFont="1" applyFill="1" applyBorder="1" applyAlignment="1">
      <alignment horizontal="right"/>
    </xf>
    <xf numFmtId="0" fontId="0" fillId="0" borderId="20" xfId="0" applyFont="1" applyFill="1" applyBorder="1" applyAlignment="1">
      <alignment horizontal="right"/>
    </xf>
    <xf numFmtId="0" fontId="16" fillId="3" borderId="3" xfId="0" applyFont="1" applyFill="1" applyBorder="1" applyAlignment="1">
      <alignment/>
    </xf>
    <xf numFmtId="0" fontId="0" fillId="0" borderId="17" xfId="0" applyFont="1" applyFill="1" applyBorder="1" applyAlignment="1">
      <alignment horizontal="center"/>
    </xf>
    <xf numFmtId="3" fontId="0" fillId="0" borderId="17" xfId="0" applyNumberFormat="1" applyFont="1" applyBorder="1" applyAlignment="1">
      <alignment horizontal="right"/>
    </xf>
    <xf numFmtId="0" fontId="16" fillId="3" borderId="17" xfId="0" applyFont="1" applyFill="1" applyBorder="1" applyAlignment="1">
      <alignment/>
    </xf>
    <xf numFmtId="169" fontId="0" fillId="0" borderId="17" xfId="0" applyNumberFormat="1" applyFont="1" applyFill="1" applyBorder="1" applyAlignment="1">
      <alignment horizontal="right"/>
    </xf>
    <xf numFmtId="0" fontId="0" fillId="0" borderId="17" xfId="0" applyFont="1" applyBorder="1" applyAlignment="1">
      <alignment horizontal="center"/>
    </xf>
    <xf numFmtId="0" fontId="0" fillId="0" borderId="17" xfId="0" applyFont="1" applyBorder="1" applyAlignment="1">
      <alignment/>
    </xf>
    <xf numFmtId="0" fontId="0" fillId="0" borderId="17" xfId="0" applyFill="1" applyBorder="1" applyAlignment="1">
      <alignment horizontal="right"/>
    </xf>
    <xf numFmtId="0" fontId="0" fillId="0" borderId="15" xfId="0" applyFont="1" applyFill="1" applyBorder="1" applyAlignment="1">
      <alignment vertical="top" wrapText="1"/>
    </xf>
    <xf numFmtId="0" fontId="16" fillId="3" borderId="15" xfId="0" applyFont="1" applyFill="1" applyBorder="1" applyAlignment="1">
      <alignment/>
    </xf>
    <xf numFmtId="0" fontId="0" fillId="0" borderId="15" xfId="0" applyFill="1" applyBorder="1" applyAlignment="1">
      <alignment/>
    </xf>
    <xf numFmtId="164" fontId="0" fillId="0" borderId="0" xfId="0" applyNumberFormat="1" applyFont="1" applyFill="1" applyBorder="1" applyAlignment="1">
      <alignment horizontal="right"/>
    </xf>
    <xf numFmtId="164" fontId="0" fillId="0" borderId="18" xfId="0" applyNumberFormat="1" applyFont="1" applyFill="1" applyBorder="1" applyAlignment="1">
      <alignment horizontal="right"/>
    </xf>
    <xf numFmtId="0" fontId="0" fillId="0" borderId="16"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2:X64"/>
  <sheetViews>
    <sheetView tabSelected="1" workbookViewId="0" topLeftCell="A1">
      <selection activeCell="C62" sqref="C62"/>
    </sheetView>
  </sheetViews>
  <sheetFormatPr defaultColWidth="9.140625" defaultRowHeight="12.75"/>
  <cols>
    <col min="2" max="2" width="9.421875" style="0" customWidth="1"/>
    <col min="4" max="4" width="14.00390625" style="0" customWidth="1"/>
    <col min="5" max="5" width="11.00390625" style="0" customWidth="1"/>
    <col min="6" max="6" width="11.421875" style="0" customWidth="1"/>
    <col min="7" max="7" width="10.140625" style="0" customWidth="1"/>
    <col min="8" max="8" width="12.7109375" style="0" customWidth="1"/>
    <col min="9" max="9" width="15.421875" style="0" customWidth="1"/>
    <col min="10" max="10" width="9.7109375" style="0" customWidth="1"/>
    <col min="11" max="11" width="9.57421875" style="0" bestFit="1" customWidth="1"/>
    <col min="12" max="12" width="11.140625" style="0" customWidth="1"/>
    <col min="13" max="13" width="12.00390625" style="0" customWidth="1"/>
    <col min="14" max="14" width="13.00390625" style="0" customWidth="1"/>
    <col min="15" max="15" width="12.8515625" style="0" customWidth="1"/>
    <col min="16" max="16" width="1.57421875" style="80" customWidth="1"/>
    <col min="17" max="17" width="13.00390625" style="0" customWidth="1"/>
    <col min="18" max="18" width="11.57421875" style="0" customWidth="1"/>
    <col min="19" max="19" width="11.421875" style="0" customWidth="1"/>
    <col min="21" max="21" width="14.7109375" style="0" customWidth="1"/>
    <col min="22" max="22" width="14.140625" style="0" customWidth="1"/>
    <col min="23" max="23" width="13.8515625" style="0" customWidth="1"/>
  </cols>
  <sheetData>
    <row r="1" ht="12.75"/>
    <row r="2" spans="1:24" ht="90" thickBot="1">
      <c r="A2" s="172" t="s">
        <v>88</v>
      </c>
      <c r="B2" s="2" t="s">
        <v>89</v>
      </c>
      <c r="C2" s="172" t="s">
        <v>90</v>
      </c>
      <c r="D2" s="172" t="s">
        <v>91</v>
      </c>
      <c r="E2" s="172" t="s">
        <v>92</v>
      </c>
      <c r="F2" s="172" t="s">
        <v>93</v>
      </c>
      <c r="G2" s="172" t="s">
        <v>94</v>
      </c>
      <c r="H2" s="173" t="s">
        <v>95</v>
      </c>
      <c r="I2" s="1" t="s">
        <v>109</v>
      </c>
      <c r="J2" s="1" t="s">
        <v>110</v>
      </c>
      <c r="K2" s="1" t="s">
        <v>96</v>
      </c>
      <c r="L2" s="1" t="s">
        <v>111</v>
      </c>
      <c r="M2" s="1" t="s">
        <v>112</v>
      </c>
      <c r="N2" s="1" t="s">
        <v>97</v>
      </c>
      <c r="O2" s="1" t="s">
        <v>98</v>
      </c>
      <c r="P2" s="174"/>
      <c r="Q2" s="1" t="s">
        <v>99</v>
      </c>
      <c r="R2" s="1" t="s">
        <v>100</v>
      </c>
      <c r="S2" s="1" t="s">
        <v>113</v>
      </c>
      <c r="T2" s="2" t="s">
        <v>101</v>
      </c>
      <c r="U2" s="1" t="s">
        <v>102</v>
      </c>
      <c r="V2" s="1" t="s">
        <v>103</v>
      </c>
      <c r="W2" s="1" t="s">
        <v>104</v>
      </c>
      <c r="X2" s="172"/>
    </row>
    <row r="3" spans="1:24" ht="25.5">
      <c r="A3" s="175" t="s">
        <v>0</v>
      </c>
      <c r="B3" s="176" t="s">
        <v>1</v>
      </c>
      <c r="C3" s="177" t="s">
        <v>117</v>
      </c>
      <c r="D3" s="178" t="s">
        <v>2</v>
      </c>
      <c r="E3" s="178" t="s">
        <v>118</v>
      </c>
      <c r="F3" s="178" t="s">
        <v>119</v>
      </c>
      <c r="G3" s="179" t="s">
        <v>120</v>
      </c>
      <c r="H3" s="180">
        <v>5307690</v>
      </c>
      <c r="I3" s="181">
        <v>123</v>
      </c>
      <c r="J3" s="181">
        <v>5</v>
      </c>
      <c r="K3" s="181">
        <v>1.00139859654894</v>
      </c>
      <c r="L3" s="183">
        <f>EXP(LN(K3)*(I3-J3))</f>
        <v>1.179297700235981</v>
      </c>
      <c r="M3" s="37">
        <f>K3*(L3-1)/(K3*(L3-1)+1)</f>
        <v>0.15221796361102027</v>
      </c>
      <c r="N3" s="181">
        <v>2134</v>
      </c>
      <c r="O3" s="184">
        <f>M3*N3</f>
        <v>324.83313434591724</v>
      </c>
      <c r="P3" s="182"/>
      <c r="Q3" s="184">
        <f>O3</f>
        <v>324.83313434591724</v>
      </c>
      <c r="R3" s="181"/>
      <c r="S3" s="185">
        <f>O3*70/H3</f>
        <v>0.004284033054721396</v>
      </c>
      <c r="T3" s="186"/>
      <c r="U3" s="187"/>
      <c r="V3" s="187"/>
      <c r="W3" s="187"/>
      <c r="X3" s="188"/>
    </row>
    <row r="4" spans="1:24" ht="12.75">
      <c r="A4" s="142"/>
      <c r="B4" s="38"/>
      <c r="C4" s="32"/>
      <c r="D4" s="27"/>
      <c r="E4" s="27"/>
      <c r="F4" s="27"/>
      <c r="G4" s="35" t="s">
        <v>121</v>
      </c>
      <c r="H4" s="136">
        <v>5307690</v>
      </c>
      <c r="I4" s="28">
        <v>115</v>
      </c>
      <c r="J4" s="28">
        <v>5</v>
      </c>
      <c r="K4" s="28">
        <v>1.0005</v>
      </c>
      <c r="L4" s="37">
        <f>EXP(LN(K4)*(I4-J4))</f>
        <v>1.056526092182508</v>
      </c>
      <c r="M4" s="37">
        <f>K4*(L4-1)/(K4*(L4-1)+1)</f>
        <v>0.053527161142942724</v>
      </c>
      <c r="N4" s="28">
        <v>2134</v>
      </c>
      <c r="O4" s="50">
        <f>M4*N4</f>
        <v>114.22696187903978</v>
      </c>
      <c r="P4" s="39"/>
      <c r="Q4" s="50">
        <f aca="true" t="shared" si="0" ref="Q4:Q22">O4</f>
        <v>114.22696187903978</v>
      </c>
      <c r="R4" s="28"/>
      <c r="S4" s="11">
        <f>O4*70/H4</f>
        <v>0.0015064721812187193</v>
      </c>
      <c r="T4" s="12"/>
      <c r="U4" s="8"/>
      <c r="V4" s="8"/>
      <c r="W4" s="8"/>
      <c r="X4" s="9"/>
    </row>
    <row r="5" spans="1:24" ht="12.75">
      <c r="A5" s="169"/>
      <c r="B5" s="189"/>
      <c r="C5" s="43"/>
      <c r="D5" s="45"/>
      <c r="E5" s="45"/>
      <c r="F5" s="45"/>
      <c r="G5" s="171" t="s">
        <v>122</v>
      </c>
      <c r="H5" s="190">
        <v>5307690</v>
      </c>
      <c r="I5" s="191">
        <v>135</v>
      </c>
      <c r="J5" s="191">
        <v>5</v>
      </c>
      <c r="K5" s="191">
        <v>1.0029</v>
      </c>
      <c r="L5" s="193">
        <f>EXP(LN(K5)*(I5-J5))</f>
        <v>1.457109100383827</v>
      </c>
      <c r="M5" s="193">
        <f>K5*(L5-1)/(K5*(L5-1)+1)</f>
        <v>0.31433338187991305</v>
      </c>
      <c r="N5" s="191">
        <v>2134</v>
      </c>
      <c r="O5" s="194">
        <f>M5*N5</f>
        <v>670.7874369317344</v>
      </c>
      <c r="P5" s="192"/>
      <c r="Q5" s="194">
        <f t="shared" si="0"/>
        <v>670.7874369317344</v>
      </c>
      <c r="R5" s="191"/>
      <c r="S5" s="22">
        <f>O5*70/H5</f>
        <v>0.008846620768210165</v>
      </c>
      <c r="T5" s="23"/>
      <c r="U5" s="21"/>
      <c r="V5" s="21"/>
      <c r="W5" s="21"/>
      <c r="X5" s="47"/>
    </row>
    <row r="6" spans="1:24" ht="38.25">
      <c r="A6" s="196" t="s">
        <v>116</v>
      </c>
      <c r="B6" s="197" t="s">
        <v>9</v>
      </c>
      <c r="C6" s="198" t="s">
        <v>117</v>
      </c>
      <c r="D6" s="199" t="s">
        <v>2</v>
      </c>
      <c r="E6" s="199" t="s">
        <v>3</v>
      </c>
      <c r="F6" s="199" t="s">
        <v>4</v>
      </c>
      <c r="G6" s="35" t="s">
        <v>120</v>
      </c>
      <c r="H6" s="201">
        <v>5307690</v>
      </c>
      <c r="I6" s="202">
        <v>7</v>
      </c>
      <c r="J6" s="202">
        <v>2</v>
      </c>
      <c r="K6" s="204">
        <v>1.14</v>
      </c>
      <c r="L6" s="205">
        <f>EXP(LN(K6)*(I6-J6)/10)</f>
        <v>1.0677078252031311</v>
      </c>
      <c r="M6" s="37">
        <f>K6*(L6-1)/(K6*(L6-1)+1)</f>
        <v>0.07165601368344514</v>
      </c>
      <c r="N6" s="204">
        <f>1533+672</f>
        <v>2205</v>
      </c>
      <c r="O6" s="206">
        <f aca="true" t="shared" si="1" ref="O6:O11">M6*N6</f>
        <v>158.00151017199653</v>
      </c>
      <c r="P6" s="203"/>
      <c r="Q6" s="206">
        <f t="shared" si="0"/>
        <v>158.00151017199653</v>
      </c>
      <c r="R6" s="204"/>
      <c r="S6" s="208">
        <f>O6*70/H6</f>
        <v>0.002083788938698333</v>
      </c>
      <c r="T6" s="209"/>
      <c r="U6" s="210"/>
      <c r="V6" s="210"/>
      <c r="W6" s="210"/>
      <c r="X6" s="211"/>
    </row>
    <row r="7" spans="1:24" ht="12.75">
      <c r="A7" s="142"/>
      <c r="B7" s="143"/>
      <c r="C7" s="32"/>
      <c r="D7" s="27"/>
      <c r="E7" s="27"/>
      <c r="F7" s="27"/>
      <c r="G7" s="35" t="s">
        <v>121</v>
      </c>
      <c r="H7" s="136">
        <f>H6</f>
        <v>5307690</v>
      </c>
      <c r="I7" s="28">
        <v>6</v>
      </c>
      <c r="J7" s="40">
        <v>2</v>
      </c>
      <c r="K7" s="28">
        <v>1.04</v>
      </c>
      <c r="L7" s="37">
        <f>EXP(LN(K7)*(I7-J7)/10)</f>
        <v>1.0158119924799414</v>
      </c>
      <c r="M7" s="37">
        <f>K7*(L7-1)/(K7*(L7-1)+1)</f>
        <v>0.016178426494743957</v>
      </c>
      <c r="N7" s="28">
        <f>1422+604</f>
        <v>2026</v>
      </c>
      <c r="O7" s="50">
        <f t="shared" si="1"/>
        <v>32.77749207835126</v>
      </c>
      <c r="P7" s="39"/>
      <c r="Q7" s="50">
        <f t="shared" si="0"/>
        <v>32.77749207835126</v>
      </c>
      <c r="R7" s="28"/>
      <c r="S7" s="11">
        <f>O7*70/H7</f>
        <v>0.0004322830544897287</v>
      </c>
      <c r="T7" s="12"/>
      <c r="U7" s="8"/>
      <c r="V7" s="8"/>
      <c r="W7" s="8"/>
      <c r="X7" s="9"/>
    </row>
    <row r="8" spans="1:24" ht="13.5" thickBot="1">
      <c r="A8" s="142"/>
      <c r="B8" s="143"/>
      <c r="C8" s="214"/>
      <c r="D8" s="215"/>
      <c r="E8" s="215"/>
      <c r="F8" s="215"/>
      <c r="G8" s="216" t="s">
        <v>122</v>
      </c>
      <c r="H8" s="217">
        <f>H6</f>
        <v>5307690</v>
      </c>
      <c r="I8" s="218">
        <v>8</v>
      </c>
      <c r="J8" s="219">
        <v>2</v>
      </c>
      <c r="K8" s="218">
        <v>1.23</v>
      </c>
      <c r="L8" s="221">
        <f>EXP(LN(K8)*(I8-J8)/10)</f>
        <v>1.1322519227618721</v>
      </c>
      <c r="M8" s="221">
        <f>K8*(L8-1)/(K8*(L8-1)+1)</f>
        <v>0.13991062286413355</v>
      </c>
      <c r="N8" s="218">
        <f>1645+741</f>
        <v>2386</v>
      </c>
      <c r="O8" s="222">
        <f t="shared" si="1"/>
        <v>333.8267461538227</v>
      </c>
      <c r="P8" s="220"/>
      <c r="Q8" s="222">
        <f t="shared" si="0"/>
        <v>333.8267461538227</v>
      </c>
      <c r="R8" s="218"/>
      <c r="S8" s="224">
        <f>O8*70/H8</f>
        <v>0.004402644508395854</v>
      </c>
      <c r="T8" s="225"/>
      <c r="U8" s="226"/>
      <c r="V8" s="226"/>
      <c r="W8" s="226"/>
      <c r="X8" s="227"/>
    </row>
    <row r="9" spans="1:24" ht="25.5">
      <c r="A9" s="142"/>
      <c r="B9" s="143"/>
      <c r="C9" s="32" t="s">
        <v>133</v>
      </c>
      <c r="D9" s="27" t="s">
        <v>2</v>
      </c>
      <c r="E9" s="27" t="s">
        <v>3</v>
      </c>
      <c r="F9" s="27" t="s">
        <v>4</v>
      </c>
      <c r="G9" s="35" t="s">
        <v>5</v>
      </c>
      <c r="H9" s="136">
        <f>H6</f>
        <v>5307690</v>
      </c>
      <c r="I9" s="28">
        <v>7</v>
      </c>
      <c r="J9" s="40">
        <v>2</v>
      </c>
      <c r="K9" s="28">
        <v>1.09</v>
      </c>
      <c r="L9" s="37">
        <f>EXP(LN(K9)*(I9-J9)/10)</f>
        <v>1.044030650891055</v>
      </c>
      <c r="M9" s="37">
        <f>K9*(L9-1)/(K9*(L9-1)+1)</f>
        <v>0.04579552603814981</v>
      </c>
      <c r="N9" s="28">
        <f>(135+318+3442+3269+2830+3189+847+1101+1787+3051+110+183)+(1096+1296+10+19+816+341)</f>
        <v>23840</v>
      </c>
      <c r="O9" s="50">
        <f t="shared" si="1"/>
        <v>1091.7653407494915</v>
      </c>
      <c r="P9" s="39"/>
      <c r="Q9" s="50">
        <f t="shared" si="0"/>
        <v>1091.7653407494915</v>
      </c>
      <c r="R9" s="28"/>
      <c r="S9" s="11">
        <f>O9*70/H9</f>
        <v>0.014398650609297908</v>
      </c>
      <c r="T9" s="30"/>
      <c r="U9" s="8"/>
      <c r="V9" s="8"/>
      <c r="W9" s="8"/>
      <c r="X9" s="9"/>
    </row>
    <row r="10" spans="1:24" ht="12.75">
      <c r="A10" s="142"/>
      <c r="B10" s="143"/>
      <c r="C10" s="32"/>
      <c r="D10" s="27"/>
      <c r="E10" s="27"/>
      <c r="F10" s="27"/>
      <c r="G10" s="35" t="s">
        <v>7</v>
      </c>
      <c r="H10" s="136">
        <f>H7</f>
        <v>5307690</v>
      </c>
      <c r="I10" s="28">
        <v>6</v>
      </c>
      <c r="J10" s="40">
        <v>2</v>
      </c>
      <c r="K10" s="28">
        <v>1.03</v>
      </c>
      <c r="L10" s="37">
        <f>EXP(LN(K10)*(I10-J10)/10)</f>
        <v>1.0118936950154855</v>
      </c>
      <c r="M10" s="37">
        <f>K10*(L10-1)/(K10*(L10-1)+1)</f>
        <v>0.012102247215446104</v>
      </c>
      <c r="N10" s="28">
        <f>N9</f>
        <v>23840</v>
      </c>
      <c r="O10" s="50">
        <f t="shared" si="1"/>
        <v>288.5175736162351</v>
      </c>
      <c r="P10" s="39"/>
      <c r="Q10" s="50">
        <f t="shared" si="0"/>
        <v>288.5175736162351</v>
      </c>
      <c r="R10" s="28"/>
      <c r="S10" s="11">
        <f>O10*70/H10</f>
        <v>0.0038050884948323013</v>
      </c>
      <c r="T10" s="30"/>
      <c r="U10" s="8"/>
      <c r="V10" s="8"/>
      <c r="W10" s="8"/>
      <c r="X10" s="9"/>
    </row>
    <row r="11" spans="1:24" ht="12.75">
      <c r="A11" s="169"/>
      <c r="B11" s="212"/>
      <c r="C11" s="43"/>
      <c r="D11" s="45"/>
      <c r="E11" s="45"/>
      <c r="F11" s="45"/>
      <c r="G11" s="171" t="s">
        <v>122</v>
      </c>
      <c r="H11" s="190">
        <f>H6</f>
        <v>5307690</v>
      </c>
      <c r="I11" s="191">
        <v>8</v>
      </c>
      <c r="J11" s="170">
        <v>2</v>
      </c>
      <c r="K11" s="191">
        <v>1.16</v>
      </c>
      <c r="L11" s="193">
        <f>EXP(LN(K11)*(I11-J11)/10)</f>
        <v>1.0931375013553157</v>
      </c>
      <c r="M11" s="37">
        <f>K11*(L11-1)/(K11*(L11-1)+1)</f>
        <v>0.09750509924860261</v>
      </c>
      <c r="N11" s="191">
        <f>N9</f>
        <v>23840</v>
      </c>
      <c r="O11" s="194">
        <f t="shared" si="1"/>
        <v>2324.521566086686</v>
      </c>
      <c r="P11" s="192"/>
      <c r="Q11" s="194">
        <f t="shared" si="0"/>
        <v>2324.521566086686</v>
      </c>
      <c r="R11" s="191"/>
      <c r="S11" s="22">
        <f>O11*70/H11</f>
        <v>0.030656747026685437</v>
      </c>
      <c r="T11" s="31"/>
      <c r="U11" s="21"/>
      <c r="V11" s="21"/>
      <c r="W11" s="21"/>
      <c r="X11" s="47"/>
    </row>
    <row r="12" spans="1:24" ht="38.25">
      <c r="A12" s="196" t="s">
        <v>123</v>
      </c>
      <c r="B12" s="197" t="s">
        <v>20</v>
      </c>
      <c r="C12" s="198" t="s">
        <v>134</v>
      </c>
      <c r="D12" s="199" t="s">
        <v>2</v>
      </c>
      <c r="E12" s="199" t="s">
        <v>21</v>
      </c>
      <c r="F12" s="199" t="s">
        <v>18</v>
      </c>
      <c r="G12" s="35" t="s">
        <v>120</v>
      </c>
      <c r="H12" s="201">
        <f>(58729*0.95)</f>
        <v>55792.549999999996</v>
      </c>
      <c r="I12" s="228">
        <f>0.000039/0.72</f>
        <v>5.416666666666667E-05</v>
      </c>
      <c r="J12" s="204">
        <v>0</v>
      </c>
      <c r="K12" s="228">
        <f>0.8007*250*70*0.2329</f>
        <v>3263.4530249999993</v>
      </c>
      <c r="L12" s="205" t="s">
        <v>6</v>
      </c>
      <c r="M12" s="205" t="s">
        <v>6</v>
      </c>
      <c r="N12" s="204" t="s">
        <v>6</v>
      </c>
      <c r="O12" s="229">
        <f>I12*K12*H12</f>
        <v>9862.4698287897</v>
      </c>
      <c r="P12" s="203"/>
      <c r="Q12" s="206">
        <f t="shared" si="0"/>
        <v>9862.4698287897</v>
      </c>
      <c r="R12" s="204"/>
      <c r="S12" s="208">
        <f>O12*70/H12</f>
        <v>12.373926053124999</v>
      </c>
      <c r="T12" s="213"/>
      <c r="U12" s="210"/>
      <c r="V12" s="210"/>
      <c r="W12" s="210"/>
      <c r="X12" s="211"/>
    </row>
    <row r="13" spans="1:24" ht="12.75">
      <c r="A13" s="142"/>
      <c r="B13" s="143"/>
      <c r="C13" s="32"/>
      <c r="D13" s="27"/>
      <c r="E13" s="27"/>
      <c r="F13" s="27"/>
      <c r="G13" s="35" t="s">
        <v>121</v>
      </c>
      <c r="H13" s="136">
        <f>H12</f>
        <v>55792.549999999996</v>
      </c>
      <c r="I13" s="144">
        <f>0.000019*0.72</f>
        <v>1.368E-05</v>
      </c>
      <c r="J13" s="28">
        <v>0</v>
      </c>
      <c r="K13" s="144">
        <f>0.8007*70*250*0.1988</f>
        <v>2785.6353</v>
      </c>
      <c r="L13" s="37" t="s">
        <v>6</v>
      </c>
      <c r="M13" s="37" t="s">
        <v>6</v>
      </c>
      <c r="N13" s="28" t="s">
        <v>6</v>
      </c>
      <c r="O13" s="145">
        <f>I13*K13*H13</f>
        <v>2126.114091635965</v>
      </c>
      <c r="P13" s="39"/>
      <c r="Q13" s="50">
        <f t="shared" si="0"/>
        <v>2126.114091635965</v>
      </c>
      <c r="R13" s="28"/>
      <c r="S13" s="11">
        <f>O13*70/H13</f>
        <v>2.6675243632799996</v>
      </c>
      <c r="T13" s="30"/>
      <c r="U13" s="8"/>
      <c r="V13" s="8"/>
      <c r="W13" s="8"/>
      <c r="X13" s="9"/>
    </row>
    <row r="14" spans="1:24" ht="13.5" thickBot="1">
      <c r="A14" s="142"/>
      <c r="B14" s="143"/>
      <c r="C14" s="214"/>
      <c r="D14" s="215"/>
      <c r="E14" s="215"/>
      <c r="F14" s="215"/>
      <c r="G14" s="171" t="s">
        <v>122</v>
      </c>
      <c r="H14" s="217">
        <f>H12</f>
        <v>55792.549999999996</v>
      </c>
      <c r="I14" s="230">
        <f>0.000073*0.72</f>
        <v>5.256E-05</v>
      </c>
      <c r="J14" s="218">
        <v>0</v>
      </c>
      <c r="K14" s="230">
        <f>0.8007*70*250*0.7333</f>
        <v>10275.182925</v>
      </c>
      <c r="L14" s="221" t="s">
        <v>6</v>
      </c>
      <c r="M14" s="221" t="s">
        <v>6</v>
      </c>
      <c r="N14" s="218" t="s">
        <v>6</v>
      </c>
      <c r="O14" s="221">
        <f>I14*K14*H14</f>
        <v>30131.526217292085</v>
      </c>
      <c r="P14" s="220"/>
      <c r="Q14" s="222">
        <f t="shared" si="0"/>
        <v>30131.526217292085</v>
      </c>
      <c r="R14" s="218"/>
      <c r="S14" s="224">
        <f>O14*70/H14</f>
        <v>37.804453017659995</v>
      </c>
      <c r="T14" s="231"/>
      <c r="U14" s="226"/>
      <c r="V14" s="226"/>
      <c r="W14" s="226"/>
      <c r="X14" s="227"/>
    </row>
    <row r="15" spans="1:24" ht="25.5">
      <c r="A15" s="142"/>
      <c r="B15" s="143"/>
      <c r="C15" s="232" t="s">
        <v>22</v>
      </c>
      <c r="D15" s="233" t="s">
        <v>2</v>
      </c>
      <c r="E15" s="233" t="s">
        <v>23</v>
      </c>
      <c r="F15" s="233" t="s">
        <v>18</v>
      </c>
      <c r="G15" s="179" t="s">
        <v>120</v>
      </c>
      <c r="H15" s="234"/>
      <c r="I15" s="235"/>
      <c r="J15" s="235"/>
      <c r="K15" s="233"/>
      <c r="L15" s="233"/>
      <c r="M15" s="233"/>
      <c r="N15" s="233"/>
      <c r="O15" s="233"/>
      <c r="P15" s="236"/>
      <c r="Q15" s="237">
        <f t="shared" si="0"/>
        <v>0</v>
      </c>
      <c r="R15" s="238"/>
      <c r="S15" s="239"/>
      <c r="T15" s="240"/>
      <c r="U15" s="241"/>
      <c r="V15" s="241"/>
      <c r="W15" s="241"/>
      <c r="X15" s="242"/>
    </row>
    <row r="16" spans="1:24" ht="25.5">
      <c r="A16" s="249"/>
      <c r="B16" s="250"/>
      <c r="C16" s="243" t="s">
        <v>24</v>
      </c>
      <c r="D16" s="244" t="s">
        <v>2</v>
      </c>
      <c r="E16" s="244" t="s">
        <v>23</v>
      </c>
      <c r="F16" s="244" t="s">
        <v>18</v>
      </c>
      <c r="G16" s="171" t="s">
        <v>120</v>
      </c>
      <c r="H16" s="245"/>
      <c r="I16" s="246"/>
      <c r="J16" s="246"/>
      <c r="K16" s="244"/>
      <c r="L16" s="244"/>
      <c r="M16" s="244"/>
      <c r="N16" s="244"/>
      <c r="O16" s="244"/>
      <c r="P16" s="247"/>
      <c r="Q16" s="194">
        <f t="shared" si="0"/>
        <v>0</v>
      </c>
      <c r="R16" s="191"/>
      <c r="S16" s="22"/>
      <c r="T16" s="31"/>
      <c r="U16" s="21"/>
      <c r="V16" s="21"/>
      <c r="W16" s="21"/>
      <c r="X16" s="47"/>
    </row>
    <row r="17" spans="1:24" ht="63.75">
      <c r="A17" s="142" t="s">
        <v>124</v>
      </c>
      <c r="B17" s="143" t="s">
        <v>25</v>
      </c>
      <c r="C17" s="32" t="s">
        <v>26</v>
      </c>
      <c r="D17" s="27" t="s">
        <v>2</v>
      </c>
      <c r="E17" s="35" t="s">
        <v>27</v>
      </c>
      <c r="F17" s="27" t="s">
        <v>18</v>
      </c>
      <c r="G17" s="35" t="s">
        <v>120</v>
      </c>
      <c r="H17" s="136">
        <v>2300000</v>
      </c>
      <c r="I17" s="36">
        <v>8.3125</v>
      </c>
      <c r="J17" s="28">
        <v>0</v>
      </c>
      <c r="K17" s="37">
        <v>1.18</v>
      </c>
      <c r="L17" s="37">
        <f>EXP((LN(K17)/1000)*(I17-J17))</f>
        <v>1.001376785670216</v>
      </c>
      <c r="M17" s="316">
        <f>K17*(L17-1)/(K17*(L17-1)+1)</f>
        <v>0.0016219720236042123</v>
      </c>
      <c r="N17" s="28">
        <v>821</v>
      </c>
      <c r="O17" s="28">
        <f aca="true" t="shared" si="2" ref="O17:O22">M17*N17</f>
        <v>1.3316390313790583</v>
      </c>
      <c r="P17" s="39"/>
      <c r="Q17" s="50">
        <f t="shared" si="0"/>
        <v>1.3316390313790583</v>
      </c>
      <c r="R17" s="28"/>
      <c r="S17" s="11">
        <f>O17*70/H17</f>
        <v>4.0528144433275685E-05</v>
      </c>
      <c r="T17" s="30"/>
      <c r="U17" s="8"/>
      <c r="V17" s="8"/>
      <c r="W17" s="8"/>
      <c r="X17" s="9"/>
    </row>
    <row r="18" spans="1:24" ht="12.75">
      <c r="A18" s="142"/>
      <c r="B18" s="38"/>
      <c r="C18" s="32"/>
      <c r="D18" s="27"/>
      <c r="E18" s="35"/>
      <c r="F18" s="27"/>
      <c r="G18" s="35" t="s">
        <v>121</v>
      </c>
      <c r="H18" s="136">
        <v>2300000</v>
      </c>
      <c r="I18" s="36">
        <v>0</v>
      </c>
      <c r="J18" s="28">
        <v>0</v>
      </c>
      <c r="K18" s="28">
        <v>1.1</v>
      </c>
      <c r="L18" s="37">
        <f>EXP((LN(K18)/1000)*(I18-J18))</f>
        <v>1</v>
      </c>
      <c r="M18" s="316">
        <f>K18*(L18-1)/(K18*(L18-1)+1)</f>
        <v>0</v>
      </c>
      <c r="N18" s="28">
        <v>821</v>
      </c>
      <c r="O18" s="28">
        <f t="shared" si="2"/>
        <v>0</v>
      </c>
      <c r="P18" s="39"/>
      <c r="Q18" s="50">
        <f t="shared" si="0"/>
        <v>0</v>
      </c>
      <c r="R18" s="28"/>
      <c r="S18" s="11">
        <f>O18*70/H18</f>
        <v>0</v>
      </c>
      <c r="T18" s="30"/>
      <c r="U18" s="8"/>
      <c r="V18" s="8"/>
      <c r="W18" s="8"/>
      <c r="X18" s="9"/>
    </row>
    <row r="19" spans="1:24" ht="13.5" thickBot="1">
      <c r="A19" s="142"/>
      <c r="B19" s="38"/>
      <c r="C19" s="214"/>
      <c r="D19" s="215"/>
      <c r="E19" s="216"/>
      <c r="F19" s="215"/>
      <c r="G19" s="216" t="s">
        <v>122</v>
      </c>
      <c r="H19" s="217">
        <v>2300000</v>
      </c>
      <c r="I19" s="251">
        <v>34.1</v>
      </c>
      <c r="J19" s="218">
        <v>0</v>
      </c>
      <c r="K19" s="218">
        <v>1.27</v>
      </c>
      <c r="L19" s="221">
        <f>EXP((LN(K19)/1000)*(I19-J19))</f>
        <v>1.0081837818619415</v>
      </c>
      <c r="M19" s="316">
        <f>K19*(L19-1)/(K19*(L19-1)+1)</f>
        <v>0.010286491315332871</v>
      </c>
      <c r="N19" s="218">
        <v>821</v>
      </c>
      <c r="O19" s="218">
        <f t="shared" si="2"/>
        <v>8.445209369888287</v>
      </c>
      <c r="P19" s="220"/>
      <c r="Q19" s="222">
        <f t="shared" si="0"/>
        <v>8.445209369888287</v>
      </c>
      <c r="R19" s="218"/>
      <c r="S19" s="224">
        <f>O19*70/H19</f>
        <v>0.0002570281112574696</v>
      </c>
      <c r="T19" s="231"/>
      <c r="U19" s="226"/>
      <c r="V19" s="226"/>
      <c r="W19" s="226"/>
      <c r="X19" s="227"/>
    </row>
    <row r="20" spans="1:24" ht="63.75">
      <c r="A20" s="142"/>
      <c r="B20" s="38"/>
      <c r="C20" s="32" t="s">
        <v>135</v>
      </c>
      <c r="D20" s="27" t="s">
        <v>2</v>
      </c>
      <c r="E20" s="35" t="s">
        <v>27</v>
      </c>
      <c r="F20" s="27" t="s">
        <v>18</v>
      </c>
      <c r="G20" s="35" t="s">
        <v>120</v>
      </c>
      <c r="H20" s="136">
        <v>2300000</v>
      </c>
      <c r="I20" s="36">
        <f>I17</f>
        <v>8.3125</v>
      </c>
      <c r="J20" s="28">
        <v>0</v>
      </c>
      <c r="K20" s="29">
        <v>1.37</v>
      </c>
      <c r="L20" s="37">
        <f>EXP((LN(K20)/1000)*(I20-J20))</f>
        <v>1.002620291252897</v>
      </c>
      <c r="M20" s="317">
        <f>K20*(L20-1)/(K20*(L20-1)+1)</f>
        <v>0.0035769584545268496</v>
      </c>
      <c r="N20" s="28">
        <v>764</v>
      </c>
      <c r="O20" s="28">
        <f t="shared" si="2"/>
        <v>2.7327962592585133</v>
      </c>
      <c r="P20" s="39"/>
      <c r="Q20" s="50">
        <f t="shared" si="0"/>
        <v>2.7327962592585133</v>
      </c>
      <c r="R20" s="28"/>
      <c r="S20" s="11">
        <f>O20*70/H20</f>
        <v>8.317206006438953E-05</v>
      </c>
      <c r="T20" s="30"/>
      <c r="U20" s="8"/>
      <c r="V20" s="8"/>
      <c r="W20" s="8"/>
      <c r="X20" s="9"/>
    </row>
    <row r="21" spans="1:24" ht="12.75">
      <c r="A21" s="142"/>
      <c r="B21" s="38"/>
      <c r="C21" s="32"/>
      <c r="D21" s="27"/>
      <c r="E21" s="35"/>
      <c r="F21" s="27"/>
      <c r="G21" s="35" t="s">
        <v>121</v>
      </c>
      <c r="H21" s="136">
        <v>2300000</v>
      </c>
      <c r="I21" s="36">
        <f>I18</f>
        <v>0</v>
      </c>
      <c r="J21" s="28">
        <v>0</v>
      </c>
      <c r="K21" s="28">
        <v>1.27</v>
      </c>
      <c r="L21" s="37">
        <f>EXP((LN(K21)/1000)*(I21-J21))</f>
        <v>1</v>
      </c>
      <c r="M21" s="316">
        <f>K21*(L21-1)/(K21*(L21-1)+1)</f>
        <v>0</v>
      </c>
      <c r="N21" s="28">
        <v>764</v>
      </c>
      <c r="O21" s="28">
        <f t="shared" si="2"/>
        <v>0</v>
      </c>
      <c r="P21" s="39"/>
      <c r="Q21" s="50">
        <f t="shared" si="0"/>
        <v>0</v>
      </c>
      <c r="R21" s="28"/>
      <c r="S21" s="11">
        <f>O21*70/H21</f>
        <v>0</v>
      </c>
      <c r="T21" s="30"/>
      <c r="U21" s="8"/>
      <c r="V21" s="8"/>
      <c r="W21" s="8"/>
      <c r="X21" s="9"/>
    </row>
    <row r="22" spans="1:24" ht="12.75">
      <c r="A22" s="169"/>
      <c r="B22" s="189"/>
      <c r="C22" s="43"/>
      <c r="D22" s="45"/>
      <c r="E22" s="171"/>
      <c r="F22" s="45"/>
      <c r="G22" s="171" t="s">
        <v>122</v>
      </c>
      <c r="H22" s="190">
        <v>2300000</v>
      </c>
      <c r="I22" s="248">
        <f>I19</f>
        <v>34.1</v>
      </c>
      <c r="J22" s="191">
        <v>0</v>
      </c>
      <c r="K22" s="191">
        <v>1.47</v>
      </c>
      <c r="L22" s="193">
        <f>EXP((LN(K22)/1000)*(I22-J22))</f>
        <v>1.013224123283874</v>
      </c>
      <c r="M22" s="316">
        <f>K22*(L22-1)/(K22*(L22-1)+1)</f>
        <v>0.01906877452427791</v>
      </c>
      <c r="N22" s="191">
        <v>764</v>
      </c>
      <c r="O22" s="191">
        <f t="shared" si="2"/>
        <v>14.568543736548323</v>
      </c>
      <c r="P22" s="192"/>
      <c r="Q22" s="194">
        <f t="shared" si="0"/>
        <v>14.568543736548323</v>
      </c>
      <c r="R22" s="191"/>
      <c r="S22" s="22">
        <f>O22*70/H22</f>
        <v>0.0004433904615471229</v>
      </c>
      <c r="T22" s="31"/>
      <c r="U22" s="21"/>
      <c r="V22" s="21"/>
      <c r="W22" s="21"/>
      <c r="X22" s="47"/>
    </row>
    <row r="23" spans="1:24" ht="51">
      <c r="A23" s="196" t="s">
        <v>125</v>
      </c>
      <c r="B23" s="252"/>
      <c r="C23" s="253" t="s">
        <v>32</v>
      </c>
      <c r="D23" s="199" t="s">
        <v>2</v>
      </c>
      <c r="E23" s="199"/>
      <c r="F23" s="199" t="s">
        <v>18</v>
      </c>
      <c r="G23" s="35" t="s">
        <v>120</v>
      </c>
      <c r="H23" s="254" t="s">
        <v>19</v>
      </c>
      <c r="I23" s="202" t="s">
        <v>19</v>
      </c>
      <c r="J23" s="202" t="s">
        <v>19</v>
      </c>
      <c r="K23" s="207"/>
      <c r="L23" s="207"/>
      <c r="M23" s="207"/>
      <c r="N23" s="207"/>
      <c r="O23" s="207"/>
      <c r="P23" s="255"/>
      <c r="Q23" s="204"/>
      <c r="R23" s="204"/>
      <c r="S23" s="210"/>
      <c r="T23" s="213"/>
      <c r="U23" s="210"/>
      <c r="V23" s="210"/>
      <c r="W23" s="210"/>
      <c r="X23" s="211"/>
    </row>
    <row r="24" spans="1:24" ht="12.75">
      <c r="A24" s="142"/>
      <c r="B24" s="38"/>
      <c r="C24" s="146"/>
      <c r="D24" s="27"/>
      <c r="E24" s="27"/>
      <c r="F24" s="27"/>
      <c r="G24" s="35" t="s">
        <v>121</v>
      </c>
      <c r="H24" s="147" t="s">
        <v>19</v>
      </c>
      <c r="I24" s="40" t="s">
        <v>19</v>
      </c>
      <c r="J24" s="40" t="s">
        <v>19</v>
      </c>
      <c r="K24" s="29"/>
      <c r="L24" s="29"/>
      <c r="M24" s="29"/>
      <c r="N24" s="29"/>
      <c r="O24" s="29"/>
      <c r="P24" s="39"/>
      <c r="Q24" s="28"/>
      <c r="R24" s="28"/>
      <c r="S24" s="8"/>
      <c r="T24" s="30"/>
      <c r="U24" s="8"/>
      <c r="V24" s="8"/>
      <c r="W24" s="8"/>
      <c r="X24" s="9"/>
    </row>
    <row r="25" spans="1:24" ht="13.5" thickBot="1">
      <c r="A25" s="142"/>
      <c r="B25" s="38"/>
      <c r="C25" s="256"/>
      <c r="D25" s="215"/>
      <c r="E25" s="215"/>
      <c r="F25" s="215"/>
      <c r="G25" s="171" t="s">
        <v>122</v>
      </c>
      <c r="H25" s="257" t="s">
        <v>19</v>
      </c>
      <c r="I25" s="219" t="s">
        <v>19</v>
      </c>
      <c r="J25" s="219" t="s">
        <v>19</v>
      </c>
      <c r="K25" s="223"/>
      <c r="L25" s="223"/>
      <c r="M25" s="223"/>
      <c r="N25" s="223"/>
      <c r="O25" s="223"/>
      <c r="P25" s="220"/>
      <c r="Q25" s="218"/>
      <c r="R25" s="218"/>
      <c r="S25" s="226"/>
      <c r="T25" s="231"/>
      <c r="U25" s="226"/>
      <c r="V25" s="226"/>
      <c r="W25" s="226"/>
      <c r="X25" s="227"/>
    </row>
    <row r="26" spans="1:24" ht="25.5">
      <c r="A26" s="142"/>
      <c r="B26" s="38"/>
      <c r="C26" s="146" t="s">
        <v>33</v>
      </c>
      <c r="D26" s="27" t="s">
        <v>2</v>
      </c>
      <c r="E26" s="27"/>
      <c r="F26" s="27"/>
      <c r="G26" s="179" t="s">
        <v>120</v>
      </c>
      <c r="H26" s="136"/>
      <c r="I26" s="28"/>
      <c r="J26" s="28"/>
      <c r="K26" s="29"/>
      <c r="L26" s="29"/>
      <c r="M26" s="29"/>
      <c r="N26" s="29"/>
      <c r="O26" s="29"/>
      <c r="P26" s="39"/>
      <c r="Q26" s="28"/>
      <c r="R26" s="28"/>
      <c r="S26" s="8"/>
      <c r="T26" s="30"/>
      <c r="U26" s="8"/>
      <c r="V26" s="8"/>
      <c r="W26" s="8"/>
      <c r="X26" s="9"/>
    </row>
    <row r="27" spans="1:24" ht="12.75">
      <c r="A27" s="142"/>
      <c r="B27" s="38"/>
      <c r="C27" s="146"/>
      <c r="D27" s="27"/>
      <c r="E27" s="27"/>
      <c r="F27" s="27"/>
      <c r="G27" s="35" t="s">
        <v>121</v>
      </c>
      <c r="H27" s="136"/>
      <c r="I27" s="28"/>
      <c r="J27" s="28"/>
      <c r="K27" s="29"/>
      <c r="L27" s="29"/>
      <c r="M27" s="29"/>
      <c r="N27" s="29"/>
      <c r="O27" s="29"/>
      <c r="P27" s="39"/>
      <c r="Q27" s="28"/>
      <c r="R27" s="28"/>
      <c r="S27" s="8"/>
      <c r="T27" s="30"/>
      <c r="U27" s="8"/>
      <c r="V27" s="8"/>
      <c r="W27" s="8"/>
      <c r="X27" s="9"/>
    </row>
    <row r="28" spans="1:24" ht="25.5">
      <c r="A28" s="169"/>
      <c r="B28" s="189"/>
      <c r="C28" s="243"/>
      <c r="D28" s="45"/>
      <c r="E28" s="45"/>
      <c r="F28" s="45"/>
      <c r="G28" s="171" t="s">
        <v>8</v>
      </c>
      <c r="H28" s="190"/>
      <c r="I28" s="191"/>
      <c r="J28" s="191"/>
      <c r="K28" s="195"/>
      <c r="L28" s="195"/>
      <c r="M28" s="195"/>
      <c r="N28" s="195"/>
      <c r="O28" s="195"/>
      <c r="P28" s="192"/>
      <c r="Q28" s="191"/>
      <c r="R28" s="191"/>
      <c r="S28" s="21"/>
      <c r="T28" s="31"/>
      <c r="U28" s="21"/>
      <c r="V28" s="21"/>
      <c r="W28" s="21"/>
      <c r="X28" s="47"/>
    </row>
    <row r="29" spans="1:24" ht="51">
      <c r="A29" s="142" t="s">
        <v>126</v>
      </c>
      <c r="B29" s="38"/>
      <c r="C29" s="146" t="s">
        <v>32</v>
      </c>
      <c r="D29" s="27" t="s">
        <v>2</v>
      </c>
      <c r="E29" s="27"/>
      <c r="F29" s="27" t="s">
        <v>18</v>
      </c>
      <c r="G29" s="35" t="s">
        <v>120</v>
      </c>
      <c r="H29" s="147" t="s">
        <v>19</v>
      </c>
      <c r="I29" s="40" t="s">
        <v>19</v>
      </c>
      <c r="J29" s="40" t="s">
        <v>19</v>
      </c>
      <c r="K29" s="29"/>
      <c r="L29" s="29"/>
      <c r="M29" s="29"/>
      <c r="N29" s="29"/>
      <c r="O29" s="29"/>
      <c r="P29" s="39"/>
      <c r="Q29" s="28"/>
      <c r="R29" s="28"/>
      <c r="S29" s="8"/>
      <c r="T29" s="30"/>
      <c r="U29" s="8"/>
      <c r="V29" s="8"/>
      <c r="W29" s="8"/>
      <c r="X29" s="9"/>
    </row>
    <row r="30" spans="1:24" ht="12.75">
      <c r="A30" s="142"/>
      <c r="B30" s="38"/>
      <c r="C30" s="146"/>
      <c r="D30" s="27"/>
      <c r="E30" s="27"/>
      <c r="F30" s="27"/>
      <c r="G30" s="35" t="s">
        <v>121</v>
      </c>
      <c r="H30" s="147" t="s">
        <v>19</v>
      </c>
      <c r="I30" s="40" t="s">
        <v>19</v>
      </c>
      <c r="J30" s="40" t="s">
        <v>19</v>
      </c>
      <c r="K30" s="29"/>
      <c r="L30" s="29"/>
      <c r="M30" s="29"/>
      <c r="N30" s="29"/>
      <c r="O30" s="29"/>
      <c r="P30" s="39"/>
      <c r="Q30" s="28"/>
      <c r="R30" s="28"/>
      <c r="S30" s="8"/>
      <c r="T30" s="30"/>
      <c r="U30" s="8"/>
      <c r="V30" s="8"/>
      <c r="W30" s="8"/>
      <c r="X30" s="9"/>
    </row>
    <row r="31" spans="1:24" ht="13.5" thickBot="1">
      <c r="A31" s="142"/>
      <c r="B31" s="38"/>
      <c r="C31" s="256"/>
      <c r="D31" s="215"/>
      <c r="E31" s="215"/>
      <c r="F31" s="215"/>
      <c r="G31" s="216" t="s">
        <v>122</v>
      </c>
      <c r="H31" s="257" t="s">
        <v>19</v>
      </c>
      <c r="I31" s="219" t="s">
        <v>19</v>
      </c>
      <c r="J31" s="219" t="s">
        <v>19</v>
      </c>
      <c r="K31" s="223"/>
      <c r="L31" s="223"/>
      <c r="M31" s="223"/>
      <c r="N31" s="223"/>
      <c r="O31" s="223"/>
      <c r="P31" s="220"/>
      <c r="Q31" s="218"/>
      <c r="R31" s="218"/>
      <c r="S31" s="226"/>
      <c r="T31" s="231"/>
      <c r="U31" s="226"/>
      <c r="V31" s="226"/>
      <c r="W31" s="226"/>
      <c r="X31" s="227"/>
    </row>
    <row r="32" spans="1:24" ht="25.5">
      <c r="A32" s="142"/>
      <c r="B32" s="38"/>
      <c r="C32" s="146" t="s">
        <v>33</v>
      </c>
      <c r="D32" s="27" t="s">
        <v>2</v>
      </c>
      <c r="E32" s="27"/>
      <c r="F32" s="27"/>
      <c r="G32" s="35" t="s">
        <v>120</v>
      </c>
      <c r="H32" s="136"/>
      <c r="I32" s="28"/>
      <c r="J32" s="28"/>
      <c r="K32" s="29"/>
      <c r="L32" s="29"/>
      <c r="M32" s="29"/>
      <c r="N32" s="29"/>
      <c r="O32" s="29"/>
      <c r="P32" s="39"/>
      <c r="Q32" s="28"/>
      <c r="R32" s="28"/>
      <c r="S32" s="8"/>
      <c r="T32" s="30"/>
      <c r="U32" s="8"/>
      <c r="V32" s="8"/>
      <c r="W32" s="8"/>
      <c r="X32" s="9"/>
    </row>
    <row r="33" spans="1:24" ht="12.75">
      <c r="A33" s="142"/>
      <c r="B33" s="38"/>
      <c r="C33" s="146"/>
      <c r="D33" s="27"/>
      <c r="E33" s="27"/>
      <c r="F33" s="27"/>
      <c r="G33" s="35" t="s">
        <v>121</v>
      </c>
      <c r="H33" s="136"/>
      <c r="I33" s="28"/>
      <c r="J33" s="28"/>
      <c r="K33" s="29"/>
      <c r="L33" s="29"/>
      <c r="M33" s="29"/>
      <c r="N33" s="29"/>
      <c r="O33" s="29"/>
      <c r="P33" s="39"/>
      <c r="Q33" s="28"/>
      <c r="R33" s="28"/>
      <c r="S33" s="8"/>
      <c r="T33" s="30"/>
      <c r="U33" s="8"/>
      <c r="V33" s="8"/>
      <c r="W33" s="8"/>
      <c r="X33" s="9"/>
    </row>
    <row r="34" spans="1:24" ht="12.75">
      <c r="A34" s="169"/>
      <c r="B34" s="189"/>
      <c r="C34" s="243"/>
      <c r="D34" s="45"/>
      <c r="E34" s="45"/>
      <c r="F34" s="45"/>
      <c r="G34" s="171" t="s">
        <v>122</v>
      </c>
      <c r="H34" s="190"/>
      <c r="I34" s="191"/>
      <c r="J34" s="191"/>
      <c r="K34" s="195"/>
      <c r="L34" s="195"/>
      <c r="M34" s="195"/>
      <c r="N34" s="195"/>
      <c r="O34" s="195"/>
      <c r="P34" s="192"/>
      <c r="Q34" s="191"/>
      <c r="R34" s="191"/>
      <c r="S34" s="21"/>
      <c r="T34" s="31"/>
      <c r="U34" s="21"/>
      <c r="V34" s="21"/>
      <c r="W34" s="21"/>
      <c r="X34" s="47"/>
    </row>
    <row r="35" spans="1:24" ht="12.75">
      <c r="A35" s="142"/>
      <c r="B35" s="38"/>
      <c r="C35" s="146"/>
      <c r="D35" s="27"/>
      <c r="E35" s="27"/>
      <c r="F35" s="27"/>
      <c r="G35" s="35"/>
      <c r="H35" s="136"/>
      <c r="I35" s="28"/>
      <c r="J35" s="28"/>
      <c r="K35" s="29"/>
      <c r="L35" s="29"/>
      <c r="M35" s="29"/>
      <c r="N35" s="29"/>
      <c r="O35" s="29"/>
      <c r="P35" s="39"/>
      <c r="Q35" s="28"/>
      <c r="R35" s="28"/>
      <c r="S35" s="8"/>
      <c r="T35" s="30"/>
      <c r="U35" s="8"/>
      <c r="V35" s="8"/>
      <c r="W35" s="8"/>
      <c r="X35" s="9"/>
    </row>
    <row r="36" spans="1:24" ht="25.5">
      <c r="A36" s="84" t="s">
        <v>127</v>
      </c>
      <c r="B36" s="83" t="s">
        <v>34</v>
      </c>
      <c r="C36" s="84" t="s">
        <v>35</v>
      </c>
      <c r="D36" s="85" t="s">
        <v>36</v>
      </c>
      <c r="E36" s="85" t="s">
        <v>3</v>
      </c>
      <c r="F36" s="85" t="s">
        <v>37</v>
      </c>
      <c r="G36" s="35" t="s">
        <v>120</v>
      </c>
      <c r="H36" s="87">
        <v>5307690</v>
      </c>
      <c r="I36" s="96">
        <v>20</v>
      </c>
      <c r="J36" s="96">
        <v>8</v>
      </c>
      <c r="K36" s="96"/>
      <c r="L36" s="98"/>
      <c r="M36" s="98"/>
      <c r="N36" s="84">
        <v>1077</v>
      </c>
      <c r="O36" s="99">
        <f>0.8*N36</f>
        <v>861.6</v>
      </c>
      <c r="P36" s="97"/>
      <c r="Q36" s="96"/>
      <c r="R36" s="96"/>
      <c r="S36" s="94"/>
      <c r="T36" s="95"/>
      <c r="U36" s="94"/>
      <c r="V36" s="94"/>
      <c r="W36" s="94"/>
      <c r="X36" s="9"/>
    </row>
    <row r="37" spans="1:24" ht="12.75">
      <c r="A37" s="84"/>
      <c r="B37" s="83"/>
      <c r="C37" s="84"/>
      <c r="D37" s="85"/>
      <c r="E37" s="85"/>
      <c r="F37" s="85"/>
      <c r="G37" s="35" t="s">
        <v>121</v>
      </c>
      <c r="H37" s="87"/>
      <c r="I37" s="96"/>
      <c r="J37" s="96"/>
      <c r="K37" s="96"/>
      <c r="L37" s="98"/>
      <c r="M37" s="98"/>
      <c r="N37" s="84">
        <v>1077</v>
      </c>
      <c r="O37" s="99">
        <f>0.6*N37</f>
        <v>646.1999999999999</v>
      </c>
      <c r="P37" s="97"/>
      <c r="Q37" s="96"/>
      <c r="R37" s="96"/>
      <c r="S37" s="94"/>
      <c r="T37" s="95"/>
      <c r="U37" s="94"/>
      <c r="V37" s="94"/>
      <c r="W37" s="94"/>
      <c r="X37" s="9"/>
    </row>
    <row r="38" spans="1:24" ht="12.75">
      <c r="A38" s="107"/>
      <c r="B38" s="106"/>
      <c r="C38" s="107"/>
      <c r="D38" s="108"/>
      <c r="E38" s="108"/>
      <c r="F38" s="108"/>
      <c r="G38" s="171" t="s">
        <v>122</v>
      </c>
      <c r="H38" s="110"/>
      <c r="I38" s="111"/>
      <c r="J38" s="111"/>
      <c r="K38" s="111"/>
      <c r="L38" s="113"/>
      <c r="M38" s="113"/>
      <c r="N38" s="107">
        <v>1077</v>
      </c>
      <c r="O38" s="258">
        <f>0.9*N38</f>
        <v>969.3000000000001</v>
      </c>
      <c r="P38" s="112"/>
      <c r="Q38" s="111"/>
      <c r="R38" s="111"/>
      <c r="S38" s="101"/>
      <c r="T38" s="102"/>
      <c r="U38" s="101"/>
      <c r="V38" s="101"/>
      <c r="W38" s="101"/>
      <c r="X38" s="47"/>
    </row>
    <row r="39" spans="1:24" ht="25.5">
      <c r="A39" s="103" t="s">
        <v>38</v>
      </c>
      <c r="B39" s="83" t="s">
        <v>34</v>
      </c>
      <c r="C39" s="84" t="s">
        <v>35</v>
      </c>
      <c r="D39" s="85" t="s">
        <v>36</v>
      </c>
      <c r="E39" s="85" t="s">
        <v>39</v>
      </c>
      <c r="F39" s="85" t="s">
        <v>37</v>
      </c>
      <c r="G39" s="35" t="s">
        <v>120</v>
      </c>
      <c r="H39" s="87">
        <v>360000</v>
      </c>
      <c r="I39" s="96">
        <v>3.8</v>
      </c>
      <c r="J39" s="96">
        <v>8</v>
      </c>
      <c r="K39" s="96"/>
      <c r="L39" s="98"/>
      <c r="M39" s="98"/>
      <c r="N39" s="84">
        <v>1077</v>
      </c>
      <c r="O39" s="104">
        <f>0.01*N36</f>
        <v>10.77</v>
      </c>
      <c r="P39" s="97"/>
      <c r="Q39" s="96"/>
      <c r="R39" s="96"/>
      <c r="S39" s="94"/>
      <c r="T39" s="95"/>
      <c r="U39" s="94"/>
      <c r="V39" s="94"/>
      <c r="W39" s="94"/>
      <c r="X39" s="9"/>
    </row>
    <row r="40" spans="1:24" ht="12.75">
      <c r="A40" s="103"/>
      <c r="B40" s="83"/>
      <c r="C40" s="84"/>
      <c r="D40" s="85"/>
      <c r="E40" s="85"/>
      <c r="F40" s="85"/>
      <c r="G40" s="86"/>
      <c r="H40" s="87"/>
      <c r="I40" s="96"/>
      <c r="J40" s="96"/>
      <c r="K40" s="96"/>
      <c r="L40" s="98"/>
      <c r="M40" s="98"/>
      <c r="N40" s="84"/>
      <c r="O40" s="104"/>
      <c r="P40" s="97"/>
      <c r="Q40" s="96"/>
      <c r="R40" s="96"/>
      <c r="S40" s="94"/>
      <c r="T40" s="95"/>
      <c r="U40" s="94"/>
      <c r="V40" s="94"/>
      <c r="W40" s="94"/>
      <c r="X40" s="9"/>
    </row>
    <row r="41" spans="1:24" ht="12.75">
      <c r="A41" s="105"/>
      <c r="B41" s="106"/>
      <c r="C41" s="107"/>
      <c r="D41" s="108"/>
      <c r="E41" s="108"/>
      <c r="F41" s="108"/>
      <c r="G41" s="109"/>
      <c r="H41" s="110"/>
      <c r="I41" s="111"/>
      <c r="J41" s="111"/>
      <c r="K41" s="111"/>
      <c r="L41" s="113"/>
      <c r="M41" s="113"/>
      <c r="N41" s="107"/>
      <c r="O41" s="114"/>
      <c r="P41" s="112"/>
      <c r="Q41" s="111"/>
      <c r="R41" s="111"/>
      <c r="S41" s="101"/>
      <c r="T41" s="102"/>
      <c r="U41" s="101"/>
      <c r="V41" s="101"/>
      <c r="W41" s="101"/>
      <c r="X41" s="47"/>
    </row>
    <row r="42" spans="1:24" ht="25.5">
      <c r="A42" s="103" t="s">
        <v>128</v>
      </c>
      <c r="B42" s="83" t="s">
        <v>40</v>
      </c>
      <c r="C42" s="84" t="s">
        <v>136</v>
      </c>
      <c r="D42" s="85" t="s">
        <v>2</v>
      </c>
      <c r="E42" s="85" t="s">
        <v>3</v>
      </c>
      <c r="F42" s="85" t="s">
        <v>41</v>
      </c>
      <c r="G42" s="86" t="s">
        <v>5</v>
      </c>
      <c r="H42" s="87">
        <v>5307690</v>
      </c>
      <c r="I42" s="96">
        <v>1.36</v>
      </c>
      <c r="J42" s="96">
        <v>0</v>
      </c>
      <c r="K42" s="96">
        <v>5E-05</v>
      </c>
      <c r="L42" s="98"/>
      <c r="M42" s="98"/>
      <c r="N42" s="96">
        <f>5773+5110</f>
        <v>10883</v>
      </c>
      <c r="O42" s="116">
        <f>(H42*K42*I42)/70</f>
        <v>5.156041714285715</v>
      </c>
      <c r="P42" s="97"/>
      <c r="Q42" s="96"/>
      <c r="R42" s="96"/>
      <c r="S42" s="94"/>
      <c r="T42" s="95"/>
      <c r="U42" s="94"/>
      <c r="V42" s="94"/>
      <c r="W42" s="94"/>
      <c r="X42" s="9"/>
    </row>
    <row r="43" spans="1:24" ht="12.75">
      <c r="A43" s="117"/>
      <c r="B43" s="83"/>
      <c r="C43" s="84"/>
      <c r="D43" s="85"/>
      <c r="E43" s="85"/>
      <c r="F43" s="85"/>
      <c r="G43" s="35" t="s">
        <v>121</v>
      </c>
      <c r="H43" s="87"/>
      <c r="I43" s="96"/>
      <c r="J43" s="96"/>
      <c r="K43" s="96"/>
      <c r="L43" s="98"/>
      <c r="M43" s="98"/>
      <c r="N43" s="96"/>
      <c r="O43" s="116"/>
      <c r="P43" s="97"/>
      <c r="Q43" s="96"/>
      <c r="R43" s="96"/>
      <c r="S43" s="94"/>
      <c r="T43" s="95"/>
      <c r="U43" s="94"/>
      <c r="V43" s="94"/>
      <c r="W43" s="94"/>
      <c r="X43" s="9"/>
    </row>
    <row r="44" spans="1:24" ht="12.75">
      <c r="A44" s="118"/>
      <c r="B44" s="106"/>
      <c r="C44" s="107"/>
      <c r="D44" s="108"/>
      <c r="E44" s="108"/>
      <c r="F44" s="108"/>
      <c r="G44" s="171" t="s">
        <v>122</v>
      </c>
      <c r="H44" s="110"/>
      <c r="I44" s="111"/>
      <c r="J44" s="111"/>
      <c r="K44" s="111"/>
      <c r="L44" s="113"/>
      <c r="M44" s="113"/>
      <c r="N44" s="111"/>
      <c r="O44" s="119"/>
      <c r="P44" s="112"/>
      <c r="Q44" s="111"/>
      <c r="R44" s="111"/>
      <c r="S44" s="101"/>
      <c r="T44" s="102"/>
      <c r="U44" s="101"/>
      <c r="V44" s="101"/>
      <c r="W44" s="101"/>
      <c r="X44" s="47"/>
    </row>
    <row r="45" spans="1:23" ht="25.5">
      <c r="A45" s="82" t="s">
        <v>129</v>
      </c>
      <c r="B45" s="148" t="s">
        <v>9</v>
      </c>
      <c r="C45" s="84" t="s">
        <v>42</v>
      </c>
      <c r="D45" s="85" t="s">
        <v>2</v>
      </c>
      <c r="E45" s="85" t="s">
        <v>3</v>
      </c>
      <c r="F45" s="85" t="s">
        <v>43</v>
      </c>
      <c r="G45" s="35" t="s">
        <v>120</v>
      </c>
      <c r="H45" s="87">
        <v>5307690</v>
      </c>
      <c r="I45" s="96">
        <v>3</v>
      </c>
      <c r="J45" s="96">
        <v>0</v>
      </c>
      <c r="K45" s="149">
        <v>5E-06</v>
      </c>
      <c r="L45" s="150">
        <f>I45*K45</f>
        <v>1.5000000000000002E-05</v>
      </c>
      <c r="M45" s="98">
        <f>L45*H45/70</f>
        <v>1.137362142857143</v>
      </c>
      <c r="N45" s="85"/>
      <c r="O45" s="85"/>
      <c r="P45" s="97"/>
      <c r="Q45" s="85"/>
      <c r="R45" s="85"/>
      <c r="S45" s="88"/>
      <c r="T45" s="88"/>
      <c r="U45" s="88"/>
      <c r="V45" s="88"/>
      <c r="W45" s="88"/>
    </row>
    <row r="46" spans="1:23" ht="12.75">
      <c r="A46" s="82"/>
      <c r="B46" s="83"/>
      <c r="C46" s="84"/>
      <c r="D46" s="85"/>
      <c r="E46" s="85"/>
      <c r="F46" s="85"/>
      <c r="G46" s="35" t="s">
        <v>121</v>
      </c>
      <c r="H46" s="87">
        <v>5307690</v>
      </c>
      <c r="I46" s="96">
        <v>1</v>
      </c>
      <c r="J46" s="96">
        <v>0</v>
      </c>
      <c r="K46" s="149">
        <v>2.2E-06</v>
      </c>
      <c r="L46" s="150">
        <f>I46*K46</f>
        <v>2.2E-06</v>
      </c>
      <c r="M46" s="98">
        <f>L46*H46/70</f>
        <v>0.1668131142857143</v>
      </c>
      <c r="N46" s="85"/>
      <c r="O46" s="85"/>
      <c r="P46" s="97"/>
      <c r="Q46" s="85"/>
      <c r="R46" s="85"/>
      <c r="S46" s="88"/>
      <c r="T46" s="88"/>
      <c r="U46" s="88"/>
      <c r="V46" s="88"/>
      <c r="W46" s="88"/>
    </row>
    <row r="47" spans="1:24" ht="12.75">
      <c r="A47" s="259"/>
      <c r="B47" s="106"/>
      <c r="C47" s="107"/>
      <c r="D47" s="108"/>
      <c r="E47" s="108"/>
      <c r="F47" s="108"/>
      <c r="G47" s="171" t="s">
        <v>122</v>
      </c>
      <c r="H47" s="110">
        <v>5307690</v>
      </c>
      <c r="I47" s="111">
        <v>5</v>
      </c>
      <c r="J47" s="111">
        <v>0</v>
      </c>
      <c r="K47" s="260">
        <v>7.8E-06</v>
      </c>
      <c r="L47" s="261">
        <f>I47*K47</f>
        <v>3.9E-05</v>
      </c>
      <c r="M47" s="113">
        <f>L47*H47/70</f>
        <v>2.9571415714285716</v>
      </c>
      <c r="N47" s="108"/>
      <c r="O47" s="108"/>
      <c r="P47" s="112"/>
      <c r="Q47" s="108"/>
      <c r="R47" s="108"/>
      <c r="S47" s="130"/>
      <c r="T47" s="130"/>
      <c r="U47" s="130"/>
      <c r="V47" s="130"/>
      <c r="W47" s="130"/>
      <c r="X47" s="262"/>
    </row>
    <row r="48" spans="1:23" ht="25.5">
      <c r="A48" s="82" t="s">
        <v>129</v>
      </c>
      <c r="B48" s="148" t="s">
        <v>9</v>
      </c>
      <c r="C48" s="84" t="s">
        <v>42</v>
      </c>
      <c r="D48" s="85" t="s">
        <v>2</v>
      </c>
      <c r="E48" s="85" t="s">
        <v>44</v>
      </c>
      <c r="F48" s="85" t="s">
        <v>43</v>
      </c>
      <c r="G48" s="35" t="s">
        <v>120</v>
      </c>
      <c r="H48" s="87">
        <v>5000</v>
      </c>
      <c r="I48" s="96">
        <v>250</v>
      </c>
      <c r="J48" s="96">
        <v>3</v>
      </c>
      <c r="K48" s="149">
        <v>5E-06</v>
      </c>
      <c r="L48" s="150">
        <f>(I48-J48)*K48</f>
        <v>0.0012350000000000002</v>
      </c>
      <c r="M48" s="98">
        <f>L48*H48/70</f>
        <v>0.08821428571428573</v>
      </c>
      <c r="N48" s="85"/>
      <c r="O48" s="85"/>
      <c r="P48" s="97"/>
      <c r="Q48" s="85"/>
      <c r="R48" s="85"/>
      <c r="S48" s="88"/>
      <c r="T48" s="88"/>
      <c r="U48" s="88"/>
      <c r="V48" s="88"/>
      <c r="W48" s="88"/>
    </row>
    <row r="49" spans="1:23" ht="12.75">
      <c r="A49" s="82"/>
      <c r="B49" s="148"/>
      <c r="C49" s="84"/>
      <c r="D49" s="85"/>
      <c r="E49" s="85"/>
      <c r="F49" s="85"/>
      <c r="G49" s="35" t="s">
        <v>121</v>
      </c>
      <c r="H49" s="87">
        <v>5000</v>
      </c>
      <c r="I49" s="96">
        <v>50</v>
      </c>
      <c r="J49" s="96">
        <v>3</v>
      </c>
      <c r="K49" s="149">
        <v>5E-06</v>
      </c>
      <c r="L49" s="150">
        <f>(I49-J49)*K49</f>
        <v>0.00023500000000000002</v>
      </c>
      <c r="M49" s="98">
        <f>L49*H49/70</f>
        <v>0.016785714285714286</v>
      </c>
      <c r="N49" s="85"/>
      <c r="O49" s="85"/>
      <c r="P49" s="97"/>
      <c r="Q49" s="85"/>
      <c r="R49" s="85"/>
      <c r="S49" s="88"/>
      <c r="T49" s="88"/>
      <c r="U49" s="88"/>
      <c r="V49" s="88"/>
      <c r="W49" s="88"/>
    </row>
    <row r="50" spans="1:24" ht="12.75">
      <c r="A50" s="259"/>
      <c r="B50" s="106"/>
      <c r="C50" s="107"/>
      <c r="D50" s="108"/>
      <c r="E50" s="108"/>
      <c r="F50" s="108"/>
      <c r="G50" s="171" t="s">
        <v>122</v>
      </c>
      <c r="H50" s="110">
        <v>5000</v>
      </c>
      <c r="I50" s="111">
        <v>500</v>
      </c>
      <c r="J50" s="111">
        <v>3</v>
      </c>
      <c r="K50" s="260">
        <v>5E-06</v>
      </c>
      <c r="L50" s="261">
        <f>(I50-J50)*K50</f>
        <v>0.0024850000000000002</v>
      </c>
      <c r="M50" s="113">
        <f>L50*H50/70</f>
        <v>0.17750000000000002</v>
      </c>
      <c r="N50" s="108"/>
      <c r="O50" s="108"/>
      <c r="P50" s="112"/>
      <c r="Q50" s="108"/>
      <c r="R50" s="108"/>
      <c r="S50" s="130"/>
      <c r="T50" s="130"/>
      <c r="U50" s="130"/>
      <c r="V50" s="130"/>
      <c r="W50" s="130"/>
      <c r="X50" s="262"/>
    </row>
    <row r="51" spans="1:23" ht="102">
      <c r="A51" s="153" t="s">
        <v>130</v>
      </c>
      <c r="B51" s="154"/>
      <c r="C51" s="155" t="s">
        <v>137</v>
      </c>
      <c r="D51" s="156" t="s">
        <v>2</v>
      </c>
      <c r="E51" s="157" t="s">
        <v>76</v>
      </c>
      <c r="F51" s="158" t="s">
        <v>4</v>
      </c>
      <c r="G51" s="35" t="s">
        <v>120</v>
      </c>
      <c r="H51" s="159">
        <v>920500</v>
      </c>
      <c r="I51" s="160"/>
      <c r="J51" s="161" t="s">
        <v>77</v>
      </c>
      <c r="K51" s="85"/>
      <c r="L51" s="85"/>
      <c r="M51" s="85"/>
      <c r="N51" s="85"/>
      <c r="O51" s="85"/>
      <c r="P51" s="97"/>
      <c r="Q51" s="85"/>
      <c r="R51" s="85"/>
      <c r="S51" s="88"/>
      <c r="T51" s="88"/>
      <c r="U51" s="88"/>
      <c r="V51" s="88"/>
      <c r="W51" s="88"/>
    </row>
    <row r="52" spans="1:23" ht="12.75">
      <c r="A52" s="162"/>
      <c r="B52" s="163"/>
      <c r="C52" s="164"/>
      <c r="D52" s="27" t="s">
        <v>78</v>
      </c>
      <c r="E52" s="165"/>
      <c r="F52" s="165"/>
      <c r="G52" s="35" t="s">
        <v>121</v>
      </c>
      <c r="H52" s="166"/>
      <c r="I52" s="160"/>
      <c r="J52" s="161"/>
      <c r="Q52" s="85"/>
      <c r="R52" s="85"/>
      <c r="S52" s="88"/>
      <c r="T52" s="88"/>
      <c r="U52" s="88"/>
      <c r="V52" s="88"/>
      <c r="W52" s="88"/>
    </row>
    <row r="53" spans="1:24" ht="13.5" thickBot="1">
      <c r="A53" s="162"/>
      <c r="B53" s="163"/>
      <c r="C53" s="256"/>
      <c r="D53" s="215"/>
      <c r="E53" s="215"/>
      <c r="F53" s="215"/>
      <c r="G53" s="216" t="s">
        <v>122</v>
      </c>
      <c r="H53" s="268">
        <v>920500</v>
      </c>
      <c r="I53" s="269"/>
      <c r="J53" s="270" t="s">
        <v>77</v>
      </c>
      <c r="K53" s="272"/>
      <c r="L53" s="272"/>
      <c r="M53" s="272"/>
      <c r="N53" s="272"/>
      <c r="O53" s="272"/>
      <c r="P53" s="271"/>
      <c r="Q53" s="273"/>
      <c r="R53" s="273"/>
      <c r="S53" s="274"/>
      <c r="T53" s="274"/>
      <c r="U53" s="274"/>
      <c r="V53" s="274"/>
      <c r="W53" s="274"/>
      <c r="X53" s="272"/>
    </row>
    <row r="54" spans="1:23" ht="114.75">
      <c r="A54" s="162"/>
      <c r="B54" s="163"/>
      <c r="C54" s="155" t="s">
        <v>138</v>
      </c>
      <c r="D54" s="156" t="s">
        <v>2</v>
      </c>
      <c r="E54" s="157" t="s">
        <v>79</v>
      </c>
      <c r="F54" s="158" t="s">
        <v>4</v>
      </c>
      <c r="G54" s="35" t="s">
        <v>120</v>
      </c>
      <c r="H54" s="166">
        <v>858300</v>
      </c>
      <c r="I54" s="160"/>
      <c r="J54" s="161" t="s">
        <v>77</v>
      </c>
      <c r="Q54" s="85"/>
      <c r="R54" s="85"/>
      <c r="S54" s="88"/>
      <c r="T54" s="88"/>
      <c r="U54" s="88"/>
      <c r="V54" s="88"/>
      <c r="W54" s="88"/>
    </row>
    <row r="55" spans="1:23" ht="12.75">
      <c r="A55" s="162"/>
      <c r="B55" s="163"/>
      <c r="C55" s="164"/>
      <c r="D55" s="27" t="s">
        <v>78</v>
      </c>
      <c r="E55" s="165"/>
      <c r="F55" s="165"/>
      <c r="G55" s="35" t="s">
        <v>121</v>
      </c>
      <c r="H55" s="166"/>
      <c r="I55" s="160"/>
      <c r="J55" s="160"/>
      <c r="Q55" s="85"/>
      <c r="R55" s="85"/>
      <c r="S55" s="88"/>
      <c r="T55" s="88"/>
      <c r="U55" s="88"/>
      <c r="V55" s="88"/>
      <c r="W55" s="88"/>
    </row>
    <row r="56" spans="1:23" ht="12.75">
      <c r="A56" s="162"/>
      <c r="B56" s="163"/>
      <c r="C56" s="164"/>
      <c r="D56" s="27"/>
      <c r="E56" s="165"/>
      <c r="F56" s="165"/>
      <c r="G56" s="157"/>
      <c r="H56" s="166"/>
      <c r="I56" s="160"/>
      <c r="J56" s="160"/>
      <c r="K56" s="85"/>
      <c r="L56" s="85"/>
      <c r="M56" s="85"/>
      <c r="N56" s="85"/>
      <c r="O56" s="85"/>
      <c r="P56" s="97"/>
      <c r="Q56" s="85"/>
      <c r="R56" s="85"/>
      <c r="S56" s="88"/>
      <c r="T56" s="88"/>
      <c r="U56" s="88"/>
      <c r="V56" s="88"/>
      <c r="W56" s="88"/>
    </row>
    <row r="57" spans="1:24" ht="12.75">
      <c r="A57" s="169"/>
      <c r="B57" s="170"/>
      <c r="C57" s="243"/>
      <c r="D57" s="45"/>
      <c r="E57" s="45"/>
      <c r="F57" s="45"/>
      <c r="G57" s="171" t="s">
        <v>122</v>
      </c>
      <c r="H57" s="264">
        <v>858300</v>
      </c>
      <c r="I57" s="265"/>
      <c r="J57" s="266" t="s">
        <v>77</v>
      </c>
      <c r="K57" s="108"/>
      <c r="L57" s="108"/>
      <c r="M57" s="108"/>
      <c r="N57" s="108"/>
      <c r="O57" s="108"/>
      <c r="P57" s="112"/>
      <c r="Q57" s="108"/>
      <c r="R57" s="108"/>
      <c r="S57" s="130"/>
      <c r="T57" s="130"/>
      <c r="U57" s="130"/>
      <c r="V57" s="130"/>
      <c r="W57" s="130"/>
      <c r="X57" s="262"/>
    </row>
    <row r="58" spans="1:23" ht="76.5">
      <c r="A58" s="162" t="s">
        <v>131</v>
      </c>
      <c r="B58" s="163"/>
      <c r="C58" s="167" t="s">
        <v>139</v>
      </c>
      <c r="D58" s="27" t="s">
        <v>80</v>
      </c>
      <c r="E58" s="165" t="s">
        <v>81</v>
      </c>
      <c r="F58" s="165"/>
      <c r="G58" s="35" t="s">
        <v>120</v>
      </c>
      <c r="H58" s="166">
        <v>911000</v>
      </c>
      <c r="I58" s="160"/>
      <c r="J58" s="161" t="s">
        <v>77</v>
      </c>
      <c r="K58" s="85"/>
      <c r="L58" s="85"/>
      <c r="M58" s="85"/>
      <c r="N58" s="85"/>
      <c r="O58" s="85"/>
      <c r="P58" s="97"/>
      <c r="Q58" s="85"/>
      <c r="R58" s="85"/>
      <c r="S58" s="88"/>
      <c r="T58" s="88"/>
      <c r="U58" s="88"/>
      <c r="V58" s="88"/>
      <c r="W58" s="88"/>
    </row>
    <row r="59" spans="1:18" ht="12.75">
      <c r="A59" s="162"/>
      <c r="B59" s="163"/>
      <c r="C59" s="164"/>
      <c r="D59" s="27"/>
      <c r="E59" s="165"/>
      <c r="F59" s="165"/>
      <c r="G59" s="35" t="s">
        <v>121</v>
      </c>
      <c r="H59" s="166">
        <v>911000</v>
      </c>
      <c r="I59" s="160"/>
      <c r="J59" s="161"/>
      <c r="K59" s="151"/>
      <c r="L59" s="151"/>
      <c r="M59" s="151"/>
      <c r="N59" s="151"/>
      <c r="O59" s="151"/>
      <c r="P59" s="152"/>
      <c r="Q59" s="151"/>
      <c r="R59" s="151"/>
    </row>
    <row r="60" spans="1:24" ht="12.75">
      <c r="A60" s="169"/>
      <c r="B60" s="170"/>
      <c r="C60" s="243"/>
      <c r="D60" s="45"/>
      <c r="E60" s="45"/>
      <c r="F60" s="45"/>
      <c r="G60" s="171" t="s">
        <v>122</v>
      </c>
      <c r="H60" s="264">
        <v>911000</v>
      </c>
      <c r="I60" s="265"/>
      <c r="J60" s="266"/>
      <c r="K60" s="265"/>
      <c r="L60" s="265"/>
      <c r="M60" s="265"/>
      <c r="N60" s="265"/>
      <c r="O60" s="265"/>
      <c r="P60" s="267"/>
      <c r="Q60" s="265"/>
      <c r="R60" s="265"/>
      <c r="S60" s="262"/>
      <c r="T60" s="262"/>
      <c r="U60" s="262"/>
      <c r="V60" s="262"/>
      <c r="W60" s="262"/>
      <c r="X60" s="262"/>
    </row>
    <row r="61" spans="1:18" ht="12.75">
      <c r="A61" s="162"/>
      <c r="B61" s="163"/>
      <c r="C61" s="164"/>
      <c r="D61" s="27"/>
      <c r="E61" s="165"/>
      <c r="F61" s="165"/>
      <c r="G61" s="157"/>
      <c r="H61" s="166"/>
      <c r="I61" s="160"/>
      <c r="J61" s="161"/>
      <c r="K61" s="151"/>
      <c r="L61" s="151"/>
      <c r="M61" s="151"/>
      <c r="N61" s="151"/>
      <c r="O61" s="151"/>
      <c r="P61" s="152"/>
      <c r="Q61" s="151"/>
      <c r="R61" s="151"/>
    </row>
    <row r="62" spans="1:10" ht="51">
      <c r="A62" s="162" t="s">
        <v>132</v>
      </c>
      <c r="B62" s="163"/>
      <c r="C62" s="167" t="s">
        <v>82</v>
      </c>
      <c r="D62" s="27" t="s">
        <v>83</v>
      </c>
      <c r="E62" s="165" t="s">
        <v>84</v>
      </c>
      <c r="F62" s="165" t="s">
        <v>4</v>
      </c>
      <c r="G62" s="35" t="s">
        <v>120</v>
      </c>
      <c r="H62" s="166">
        <v>4000</v>
      </c>
      <c r="I62" s="160">
        <v>0.05</v>
      </c>
      <c r="J62" s="161">
        <v>0</v>
      </c>
    </row>
    <row r="63" spans="1:10" ht="12.75">
      <c r="A63" s="162"/>
      <c r="B63" s="163"/>
      <c r="C63" s="164"/>
      <c r="D63" s="27"/>
      <c r="E63" s="165"/>
      <c r="F63" s="165"/>
      <c r="G63" s="35" t="s">
        <v>121</v>
      </c>
      <c r="H63" s="166">
        <v>4000</v>
      </c>
      <c r="I63" s="160">
        <v>0.01</v>
      </c>
      <c r="J63" s="161">
        <v>0</v>
      </c>
    </row>
    <row r="64" spans="1:24" ht="12.75">
      <c r="A64" s="169"/>
      <c r="B64" s="170"/>
      <c r="C64" s="243"/>
      <c r="D64" s="45"/>
      <c r="E64" s="45"/>
      <c r="F64" s="45"/>
      <c r="G64" s="171" t="s">
        <v>122</v>
      </c>
      <c r="H64" s="264">
        <v>4000</v>
      </c>
      <c r="I64" s="265">
        <v>0.1</v>
      </c>
      <c r="J64" s="266">
        <v>0</v>
      </c>
      <c r="K64" s="262"/>
      <c r="L64" s="262"/>
      <c r="M64" s="262"/>
      <c r="N64" s="262"/>
      <c r="O64" s="262"/>
      <c r="P64" s="267"/>
      <c r="Q64" s="262"/>
      <c r="R64" s="262"/>
      <c r="S64" s="262"/>
      <c r="T64" s="262"/>
      <c r="U64" s="262"/>
      <c r="V64" s="262"/>
      <c r="W64" s="262"/>
      <c r="X64" s="262"/>
    </row>
    <row r="69" ht="12.75"/>
    <row r="70" ht="12.75"/>
    <row r="71" ht="12.75"/>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4:R17"/>
  <sheetViews>
    <sheetView workbookViewId="0" topLeftCell="A1">
      <selection activeCell="C11" sqref="C11"/>
    </sheetView>
  </sheetViews>
  <sheetFormatPr defaultColWidth="9.140625" defaultRowHeight="12.75"/>
  <cols>
    <col min="4" max="4" width="13.7109375" style="0" customWidth="1"/>
    <col min="5" max="5" width="10.8515625" style="0" customWidth="1"/>
    <col min="6" max="6" width="12.28125" style="0" customWidth="1"/>
    <col min="7" max="7" width="10.28125" style="0" customWidth="1"/>
    <col min="8" max="8" width="12.8515625" style="0" customWidth="1"/>
    <col min="9" max="9" width="15.57421875" style="0" customWidth="1"/>
    <col min="12" max="12" width="13.7109375" style="0" customWidth="1"/>
    <col min="13" max="13" width="11.421875" style="0" customWidth="1"/>
    <col min="14" max="14" width="11.8515625" style="0" customWidth="1"/>
    <col min="15" max="15" width="2.00390625" style="51" customWidth="1"/>
    <col min="16" max="16" width="13.7109375" style="0" customWidth="1"/>
    <col min="17" max="17" width="12.421875" style="0" customWidth="1"/>
    <col min="18" max="18" width="13.28125" style="0" customWidth="1"/>
  </cols>
  <sheetData>
    <row r="1" ht="12.75"/>
    <row r="2" ht="12.75"/>
    <row r="3" ht="12.75"/>
    <row r="4" spans="1:18" ht="77.25" thickBot="1">
      <c r="A4" s="172" t="s">
        <v>88</v>
      </c>
      <c r="B4" s="2" t="s">
        <v>89</v>
      </c>
      <c r="C4" s="172" t="s">
        <v>143</v>
      </c>
      <c r="D4" s="172" t="s">
        <v>91</v>
      </c>
      <c r="E4" s="172" t="s">
        <v>92</v>
      </c>
      <c r="F4" s="172" t="s">
        <v>93</v>
      </c>
      <c r="G4" s="172" t="s">
        <v>94</v>
      </c>
      <c r="H4" s="173" t="s">
        <v>95</v>
      </c>
      <c r="I4" s="1" t="s">
        <v>109</v>
      </c>
      <c r="J4" s="1" t="s">
        <v>110</v>
      </c>
      <c r="K4" s="1" t="s">
        <v>105</v>
      </c>
      <c r="L4" s="280" t="s">
        <v>106</v>
      </c>
      <c r="M4" s="280" t="s">
        <v>107</v>
      </c>
      <c r="N4" s="280" t="s">
        <v>108</v>
      </c>
      <c r="O4" s="281"/>
      <c r="P4" s="1" t="s">
        <v>99</v>
      </c>
      <c r="Q4" s="1" t="s">
        <v>100</v>
      </c>
      <c r="R4" s="1" t="s">
        <v>114</v>
      </c>
    </row>
    <row r="5" spans="1:18" ht="25.5">
      <c r="A5" s="3" t="s">
        <v>140</v>
      </c>
      <c r="B5" s="26" t="s">
        <v>9</v>
      </c>
      <c r="C5" s="5" t="s">
        <v>10</v>
      </c>
      <c r="D5" s="6" t="s">
        <v>11</v>
      </c>
      <c r="E5" s="6" t="s">
        <v>12</v>
      </c>
      <c r="F5" s="6" t="s">
        <v>4</v>
      </c>
      <c r="G5" s="179" t="s">
        <v>120</v>
      </c>
      <c r="H5" s="7">
        <v>1000</v>
      </c>
      <c r="I5" s="8">
        <v>150</v>
      </c>
      <c r="J5" s="8">
        <v>0</v>
      </c>
      <c r="K5" s="9">
        <v>7</v>
      </c>
      <c r="L5" s="279">
        <v>0.00038</v>
      </c>
      <c r="M5" s="10">
        <f>(I5-J5)*(K5/70)*L5</f>
        <v>0.0057</v>
      </c>
      <c r="N5" s="37">
        <f>M5*H5/70</f>
        <v>0.08142857142857143</v>
      </c>
      <c r="P5" s="135"/>
      <c r="Q5" s="135"/>
      <c r="R5" s="135"/>
    </row>
    <row r="6" spans="1:18" ht="12.75">
      <c r="A6" s="3"/>
      <c r="B6" s="4"/>
      <c r="C6" s="5"/>
      <c r="D6" s="6"/>
      <c r="E6" s="6"/>
      <c r="F6" s="6"/>
      <c r="G6" s="35" t="s">
        <v>121</v>
      </c>
      <c r="H6" s="7"/>
      <c r="I6" s="8" t="s">
        <v>13</v>
      </c>
      <c r="J6" s="8"/>
      <c r="K6" s="9" t="s">
        <v>13</v>
      </c>
      <c r="L6" s="10"/>
      <c r="M6" s="10"/>
      <c r="N6" s="10"/>
      <c r="P6" s="135"/>
      <c r="Q6" s="135"/>
      <c r="R6" s="135"/>
    </row>
    <row r="7" spans="1:18" ht="12.75">
      <c r="A7" s="14"/>
      <c r="B7" s="15"/>
      <c r="C7" s="16"/>
      <c r="D7" s="17"/>
      <c r="E7" s="17"/>
      <c r="F7" s="17"/>
      <c r="G7" s="171" t="s">
        <v>122</v>
      </c>
      <c r="H7" s="24"/>
      <c r="I7" s="18"/>
      <c r="J7" s="18"/>
      <c r="K7" s="19"/>
      <c r="L7" s="20"/>
      <c r="M7" s="20"/>
      <c r="N7" s="20"/>
      <c r="P7" s="262"/>
      <c r="Q7" s="262"/>
      <c r="R7" s="262"/>
    </row>
    <row r="8" spans="1:14" ht="25.5">
      <c r="A8" s="3" t="s">
        <v>141</v>
      </c>
      <c r="B8" s="26" t="s">
        <v>16</v>
      </c>
      <c r="C8" s="32" t="s">
        <v>144</v>
      </c>
      <c r="D8" s="6" t="s">
        <v>11</v>
      </c>
      <c r="E8" s="27" t="s">
        <v>17</v>
      </c>
      <c r="F8" s="27" t="s">
        <v>18</v>
      </c>
      <c r="G8" s="35" t="s">
        <v>120</v>
      </c>
      <c r="H8" s="7">
        <f>5307690*0.95</f>
        <v>5042305.5</v>
      </c>
      <c r="I8" s="10">
        <f>((627.2+458.2)/1000)/0.82*2</f>
        <v>2.6473170731707323</v>
      </c>
      <c r="J8" s="28">
        <v>0</v>
      </c>
      <c r="K8" s="9">
        <v>70</v>
      </c>
      <c r="L8" s="33">
        <f>'Dioksiini apulaskentaa'!T11*156000*0.000000001</f>
        <v>3.217987176418379E-05</v>
      </c>
      <c r="M8" s="34">
        <f>(I8-J8)*(K8/70)*L8</f>
        <v>8.519032393376851E-05</v>
      </c>
      <c r="N8" s="37">
        <f>M8*H8/70</f>
        <v>6.136509127400323</v>
      </c>
    </row>
    <row r="9" spans="1:14" ht="12.75">
      <c r="A9" s="3"/>
      <c r="B9" s="26"/>
      <c r="C9" s="32"/>
      <c r="D9" s="6"/>
      <c r="E9" s="27"/>
      <c r="F9" s="27"/>
      <c r="G9" s="35" t="s">
        <v>121</v>
      </c>
      <c r="H9" s="7">
        <f>5307690*0.95</f>
        <v>5042305.5</v>
      </c>
      <c r="I9" s="10">
        <f>((342+242)/1000)/0.82*2</f>
        <v>1.424390243902439</v>
      </c>
      <c r="J9" s="28">
        <v>0</v>
      </c>
      <c r="K9" s="9">
        <v>70</v>
      </c>
      <c r="L9" s="33">
        <f>L8*'Dioksiini apulaskentaa'!C39</f>
        <v>4.153766389946057E-06</v>
      </c>
      <c r="M9" s="34">
        <f>(I9-J9)*(K9/70)*L9</f>
        <v>5.916584321289017E-06</v>
      </c>
      <c r="N9" s="10">
        <f>M9*H9/70</f>
        <v>0.42618893806356256</v>
      </c>
    </row>
    <row r="10" spans="1:18" ht="12.75">
      <c r="A10" s="41"/>
      <c r="B10" s="276"/>
      <c r="C10" s="43"/>
      <c r="D10" s="44"/>
      <c r="E10" s="45"/>
      <c r="F10" s="45"/>
      <c r="G10" s="171" t="s">
        <v>122</v>
      </c>
      <c r="H10" s="46">
        <f>5307690*0.95</f>
        <v>5042305.5</v>
      </c>
      <c r="I10" s="48">
        <f>((936.8+658)/1000)/0.82*2</f>
        <v>3.889756097560976</v>
      </c>
      <c r="J10" s="191">
        <v>0</v>
      </c>
      <c r="K10" s="47">
        <v>70</v>
      </c>
      <c r="L10" s="277">
        <f>156000*0.000000001</f>
        <v>0.000156</v>
      </c>
      <c r="M10" s="278">
        <f>(I10-J10)*(K10/70)*L10</f>
        <v>0.0006068019512195122</v>
      </c>
      <c r="N10" s="48">
        <f>M10*H10/70</f>
        <v>43.709725943498256</v>
      </c>
      <c r="O10" s="275"/>
      <c r="P10" s="262"/>
      <c r="Q10" s="262"/>
      <c r="R10" s="262"/>
    </row>
    <row r="11" spans="1:18" ht="25.5">
      <c r="A11" s="120" t="s">
        <v>142</v>
      </c>
      <c r="B11" s="121" t="s">
        <v>9</v>
      </c>
      <c r="C11" s="122" t="s">
        <v>45</v>
      </c>
      <c r="D11" s="123" t="s">
        <v>46</v>
      </c>
      <c r="E11" s="123" t="s">
        <v>3</v>
      </c>
      <c r="F11" s="123" t="s">
        <v>43</v>
      </c>
      <c r="G11" s="35" t="s">
        <v>120</v>
      </c>
      <c r="H11" s="124">
        <v>5307690</v>
      </c>
      <c r="I11" s="96">
        <v>25</v>
      </c>
      <c r="J11" s="96">
        <v>1</v>
      </c>
      <c r="K11" s="85">
        <v>70</v>
      </c>
      <c r="L11" s="125">
        <v>1.3E-05</v>
      </c>
      <c r="M11" s="126">
        <f>(I11-J11)*L11*0.6</f>
        <v>0.0001872</v>
      </c>
      <c r="N11" s="140">
        <f aca="true" t="shared" si="0" ref="N11:N16">M11*H11/70</f>
        <v>14.194279542857142</v>
      </c>
      <c r="P11" s="282"/>
      <c r="Q11" s="282"/>
      <c r="R11" s="282"/>
    </row>
    <row r="12" spans="1:18" ht="12.75">
      <c r="A12" s="120"/>
      <c r="B12" s="95"/>
      <c r="C12" s="122"/>
      <c r="D12" s="123"/>
      <c r="E12" s="123"/>
      <c r="F12" s="123"/>
      <c r="G12" s="35" t="s">
        <v>121</v>
      </c>
      <c r="H12" s="124">
        <v>5307690</v>
      </c>
      <c r="I12" s="96">
        <v>5</v>
      </c>
      <c r="J12" s="96">
        <v>1</v>
      </c>
      <c r="K12" s="85">
        <v>70</v>
      </c>
      <c r="L12" s="125">
        <v>1.3E-05</v>
      </c>
      <c r="M12" s="126">
        <f>(I12-J12)*L12*0.6</f>
        <v>3.12E-05</v>
      </c>
      <c r="N12" s="140">
        <f t="shared" si="0"/>
        <v>2.365713257142857</v>
      </c>
      <c r="P12" s="135"/>
      <c r="Q12" s="135"/>
      <c r="R12" s="135"/>
    </row>
    <row r="13" spans="1:18" ht="12.75">
      <c r="A13" s="128"/>
      <c r="B13" s="102"/>
      <c r="C13" s="129"/>
      <c r="D13" s="129"/>
      <c r="E13" s="130"/>
      <c r="F13" s="130"/>
      <c r="G13" s="171" t="s">
        <v>122</v>
      </c>
      <c r="H13" s="131">
        <v>5307690</v>
      </c>
      <c r="I13" s="111">
        <v>100</v>
      </c>
      <c r="J13" s="111">
        <v>1</v>
      </c>
      <c r="K13" s="108">
        <v>70</v>
      </c>
      <c r="L13" s="132">
        <v>1.3E-05</v>
      </c>
      <c r="M13" s="133">
        <f>(I13-J13)*L13*0.6</f>
        <v>0.0007721999999999999</v>
      </c>
      <c r="N13" s="141">
        <f t="shared" si="0"/>
        <v>58.551403114285705</v>
      </c>
      <c r="P13" s="262"/>
      <c r="Q13" s="262"/>
      <c r="R13" s="262"/>
    </row>
    <row r="14" spans="1:18" ht="25.5">
      <c r="A14" s="120" t="s">
        <v>142</v>
      </c>
      <c r="B14" s="121" t="s">
        <v>9</v>
      </c>
      <c r="C14" s="122" t="s">
        <v>45</v>
      </c>
      <c r="D14" s="123" t="s">
        <v>46</v>
      </c>
      <c r="E14" s="123" t="s">
        <v>44</v>
      </c>
      <c r="F14" s="123" t="s">
        <v>43</v>
      </c>
      <c r="G14" s="35" t="s">
        <v>120</v>
      </c>
      <c r="H14" s="124">
        <v>10680</v>
      </c>
      <c r="I14" s="96">
        <v>200</v>
      </c>
      <c r="J14" s="96">
        <v>1</v>
      </c>
      <c r="K14" s="85">
        <v>70</v>
      </c>
      <c r="L14" s="125">
        <v>1.3E-05</v>
      </c>
      <c r="M14" s="126">
        <f>(I14-J14)*L14*0.15</f>
        <v>0.00038804999999999997</v>
      </c>
      <c r="N14" s="127">
        <f t="shared" si="0"/>
        <v>0.05920534285714286</v>
      </c>
      <c r="P14" s="135"/>
      <c r="Q14" s="135"/>
      <c r="R14" s="135"/>
    </row>
    <row r="15" spans="1:18" ht="12.75">
      <c r="A15" s="120"/>
      <c r="B15" s="95"/>
      <c r="C15" s="122"/>
      <c r="D15" s="123"/>
      <c r="E15" s="123"/>
      <c r="F15" s="123"/>
      <c r="G15" s="35" t="s">
        <v>121</v>
      </c>
      <c r="H15" s="124">
        <v>10680</v>
      </c>
      <c r="I15" s="96">
        <v>50</v>
      </c>
      <c r="J15" s="96">
        <v>1</v>
      </c>
      <c r="K15" s="85">
        <v>70</v>
      </c>
      <c r="L15" s="125">
        <v>1.3E-05</v>
      </c>
      <c r="M15" s="126">
        <f>(I15-J15)*L15*0.15</f>
        <v>9.554999999999999E-05</v>
      </c>
      <c r="N15" s="127">
        <f t="shared" si="0"/>
        <v>0.014578199999999998</v>
      </c>
      <c r="P15" s="135"/>
      <c r="Q15" s="135"/>
      <c r="R15" s="135"/>
    </row>
    <row r="16" spans="1:18" ht="12.75">
      <c r="A16" s="128"/>
      <c r="B16" s="102"/>
      <c r="C16" s="129"/>
      <c r="D16" s="130"/>
      <c r="E16" s="130"/>
      <c r="F16" s="130"/>
      <c r="G16" s="171" t="s">
        <v>122</v>
      </c>
      <c r="H16" s="131">
        <v>10680</v>
      </c>
      <c r="I16" s="111">
        <v>500</v>
      </c>
      <c r="J16" s="111">
        <v>1</v>
      </c>
      <c r="K16" s="108">
        <v>70</v>
      </c>
      <c r="L16" s="132">
        <v>1.3E-05</v>
      </c>
      <c r="M16" s="133">
        <f>(I16-J16)*L16*0.15</f>
        <v>0.0009730499999999999</v>
      </c>
      <c r="N16" s="134">
        <f t="shared" si="0"/>
        <v>0.14845962857142855</v>
      </c>
      <c r="P16" s="262"/>
      <c r="Q16" s="262"/>
      <c r="R16" s="262"/>
    </row>
    <row r="17" spans="16:18" ht="12.75">
      <c r="P17" s="135"/>
      <c r="Q17" s="135"/>
      <c r="R17" s="135"/>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3:R28"/>
  <sheetViews>
    <sheetView workbookViewId="0" topLeftCell="A1">
      <selection activeCell="C27" sqref="C27"/>
    </sheetView>
  </sheetViews>
  <sheetFormatPr defaultColWidth="9.140625" defaultRowHeight="12.75"/>
  <cols>
    <col min="4" max="4" width="13.8515625" style="0" customWidth="1"/>
    <col min="5" max="5" width="11.00390625" style="0" customWidth="1"/>
    <col min="6" max="6" width="13.57421875" style="0" customWidth="1"/>
    <col min="7" max="7" width="11.140625" style="0" customWidth="1"/>
    <col min="8" max="8" width="14.00390625" style="0" customWidth="1"/>
    <col min="9" max="9" width="1.8515625" style="81" customWidth="1"/>
    <col min="10" max="11" width="13.140625" style="0" customWidth="1"/>
    <col min="12" max="12" width="12.421875" style="0" customWidth="1"/>
    <col min="14" max="14" width="12.7109375" style="0" customWidth="1"/>
    <col min="15" max="15" width="14.140625" style="0" customWidth="1"/>
    <col min="16" max="16" width="14.00390625" style="0" customWidth="1"/>
  </cols>
  <sheetData>
    <row r="1" ht="12.75"/>
    <row r="2" ht="12.75"/>
    <row r="3" spans="1:17" ht="90" thickBot="1">
      <c r="A3" s="172" t="s">
        <v>88</v>
      </c>
      <c r="B3" s="2" t="s">
        <v>89</v>
      </c>
      <c r="C3" s="172" t="s">
        <v>90</v>
      </c>
      <c r="D3" s="172" t="s">
        <v>91</v>
      </c>
      <c r="E3" s="172" t="s">
        <v>92</v>
      </c>
      <c r="F3" s="172" t="s">
        <v>93</v>
      </c>
      <c r="G3" s="172" t="s">
        <v>94</v>
      </c>
      <c r="H3" s="173" t="s">
        <v>95</v>
      </c>
      <c r="I3" s="284"/>
      <c r="J3" s="1" t="s">
        <v>99</v>
      </c>
      <c r="K3" s="1" t="s">
        <v>100</v>
      </c>
      <c r="L3" s="1" t="s">
        <v>113</v>
      </c>
      <c r="M3" s="2" t="s">
        <v>101</v>
      </c>
      <c r="N3" s="1" t="s">
        <v>115</v>
      </c>
      <c r="O3" s="1" t="s">
        <v>103</v>
      </c>
      <c r="P3" s="1" t="s">
        <v>104</v>
      </c>
      <c r="Q3" s="283"/>
    </row>
    <row r="4" spans="1:17" ht="25.5">
      <c r="A4" s="285" t="s">
        <v>145</v>
      </c>
      <c r="B4" s="286"/>
      <c r="C4" s="287" t="s">
        <v>151</v>
      </c>
      <c r="D4" s="288" t="s">
        <v>14</v>
      </c>
      <c r="E4" s="288"/>
      <c r="F4" s="288"/>
      <c r="G4" s="318" t="s">
        <v>15</v>
      </c>
      <c r="H4" s="289"/>
      <c r="I4" s="290"/>
      <c r="J4" s="291">
        <f>285/5</f>
        <v>57</v>
      </c>
      <c r="K4" s="292"/>
      <c r="L4" s="292"/>
      <c r="M4" s="292"/>
      <c r="N4" s="292"/>
      <c r="O4" s="292"/>
      <c r="P4" s="292"/>
      <c r="Q4" s="292"/>
    </row>
    <row r="5" spans="1:18" ht="51">
      <c r="A5" s="293" t="s">
        <v>146</v>
      </c>
      <c r="B5" s="90"/>
      <c r="C5" s="89" t="s">
        <v>152</v>
      </c>
      <c r="D5" s="91" t="s">
        <v>14</v>
      </c>
      <c r="E5" s="91" t="s">
        <v>3</v>
      </c>
      <c r="F5" s="91"/>
      <c r="G5" s="200" t="s">
        <v>120</v>
      </c>
      <c r="H5" s="92"/>
      <c r="I5" s="93"/>
      <c r="J5" s="91">
        <f>273+113+130+15</f>
        <v>531</v>
      </c>
      <c r="K5" s="282"/>
      <c r="L5" s="282"/>
      <c r="M5" s="282"/>
      <c r="N5" s="282"/>
      <c r="O5" s="282"/>
      <c r="P5" s="282"/>
      <c r="Q5" s="135"/>
      <c r="R5" s="135"/>
    </row>
    <row r="6" spans="1:18" ht="12.75">
      <c r="A6" s="82"/>
      <c r="B6" s="83"/>
      <c r="C6" s="84"/>
      <c r="D6" s="85"/>
      <c r="E6" s="85"/>
      <c r="F6" s="85"/>
      <c r="G6" s="35" t="s">
        <v>121</v>
      </c>
      <c r="H6" s="87"/>
      <c r="I6" s="100"/>
      <c r="J6" s="85"/>
      <c r="K6" s="135"/>
      <c r="L6" s="135"/>
      <c r="M6" s="135"/>
      <c r="N6" s="135"/>
      <c r="O6" s="135"/>
      <c r="P6" s="135"/>
      <c r="Q6" s="135"/>
      <c r="R6" s="135"/>
    </row>
    <row r="7" spans="1:18" ht="12.75">
      <c r="A7" s="259"/>
      <c r="B7" s="106"/>
      <c r="C7" s="107"/>
      <c r="D7" s="108"/>
      <c r="E7" s="108"/>
      <c r="F7" s="108"/>
      <c r="G7" s="171" t="s">
        <v>122</v>
      </c>
      <c r="H7" s="110"/>
      <c r="I7" s="115"/>
      <c r="J7" s="108"/>
      <c r="K7" s="262"/>
      <c r="L7" s="262"/>
      <c r="M7" s="262"/>
      <c r="N7" s="262"/>
      <c r="O7" s="262"/>
      <c r="P7" s="262"/>
      <c r="Q7" s="135"/>
      <c r="R7" s="135"/>
    </row>
    <row r="8" spans="1:18" ht="51">
      <c r="A8" s="82" t="s">
        <v>147</v>
      </c>
      <c r="B8" s="83"/>
      <c r="C8" s="84" t="s">
        <v>152</v>
      </c>
      <c r="D8" s="85" t="s">
        <v>14</v>
      </c>
      <c r="E8" s="85" t="s">
        <v>3</v>
      </c>
      <c r="F8" s="85"/>
      <c r="G8" s="35" t="s">
        <v>120</v>
      </c>
      <c r="H8" s="87"/>
      <c r="I8" s="100"/>
      <c r="J8" s="85">
        <f>398+118+562+560+50+16+135+28+15+1+3+234+97</f>
        <v>2217</v>
      </c>
      <c r="K8" s="135"/>
      <c r="L8" s="135"/>
      <c r="M8" s="135"/>
      <c r="N8" s="135"/>
      <c r="O8" s="135"/>
      <c r="P8" s="135"/>
      <c r="Q8" s="135"/>
      <c r="R8" s="135"/>
    </row>
    <row r="9" spans="1:18" ht="12.75">
      <c r="A9" s="82"/>
      <c r="B9" s="83"/>
      <c r="C9" s="84"/>
      <c r="D9" s="85"/>
      <c r="E9" s="85"/>
      <c r="F9" s="85"/>
      <c r="G9" s="35" t="s">
        <v>121</v>
      </c>
      <c r="H9" s="87"/>
      <c r="I9" s="100"/>
      <c r="J9" s="123"/>
      <c r="K9" s="135"/>
      <c r="L9" s="135"/>
      <c r="M9" s="135"/>
      <c r="N9" s="135"/>
      <c r="O9" s="135"/>
      <c r="P9" s="135"/>
      <c r="Q9" s="135"/>
      <c r="R9" s="135"/>
    </row>
    <row r="10" spans="1:18" ht="12.75">
      <c r="A10" s="259"/>
      <c r="B10" s="106"/>
      <c r="C10" s="107"/>
      <c r="D10" s="108"/>
      <c r="E10" s="108"/>
      <c r="F10" s="108"/>
      <c r="G10" s="171" t="s">
        <v>122</v>
      </c>
      <c r="H10" s="110"/>
      <c r="I10" s="115"/>
      <c r="J10" s="130"/>
      <c r="K10" s="262"/>
      <c r="L10" s="262"/>
      <c r="M10" s="262"/>
      <c r="N10" s="262"/>
      <c r="O10" s="262"/>
      <c r="P10" s="262"/>
      <c r="Q10" s="262"/>
      <c r="R10" s="135"/>
    </row>
    <row r="11" spans="1:18" ht="39" thickBot="1">
      <c r="A11" s="142" t="s">
        <v>148</v>
      </c>
      <c r="B11" s="294" t="s">
        <v>28</v>
      </c>
      <c r="C11" s="295" t="s">
        <v>153</v>
      </c>
      <c r="D11" s="296" t="s">
        <v>6</v>
      </c>
      <c r="E11" s="297" t="s">
        <v>3</v>
      </c>
      <c r="F11" s="296" t="s">
        <v>6</v>
      </c>
      <c r="G11" s="297" t="s">
        <v>7</v>
      </c>
      <c r="H11" s="298">
        <v>823254</v>
      </c>
      <c r="I11" s="299"/>
      <c r="J11" s="300"/>
      <c r="K11" s="300"/>
      <c r="L11" s="300"/>
      <c r="M11" s="300"/>
      <c r="N11" s="301" t="s">
        <v>29</v>
      </c>
      <c r="O11" s="302" t="s">
        <v>6</v>
      </c>
      <c r="P11" s="303">
        <v>0.154801725948592</v>
      </c>
      <c r="Q11" s="304" t="s">
        <v>6</v>
      </c>
      <c r="R11" s="135"/>
    </row>
    <row r="12" spans="1:18" ht="25.5">
      <c r="A12" s="142"/>
      <c r="B12" s="38" t="s">
        <v>28</v>
      </c>
      <c r="C12" s="32" t="s">
        <v>154</v>
      </c>
      <c r="D12" s="27" t="s">
        <v>30</v>
      </c>
      <c r="E12" s="35" t="s">
        <v>3</v>
      </c>
      <c r="F12" s="27" t="s">
        <v>6</v>
      </c>
      <c r="G12" s="35" t="s">
        <v>120</v>
      </c>
      <c r="H12" s="7"/>
      <c r="I12" s="137"/>
      <c r="J12" s="135"/>
      <c r="K12" s="135"/>
      <c r="L12" s="135"/>
      <c r="M12" s="135"/>
      <c r="N12" s="30" t="s">
        <v>29</v>
      </c>
      <c r="O12" s="8" t="s">
        <v>6</v>
      </c>
      <c r="P12" s="28" t="s">
        <v>6</v>
      </c>
      <c r="Q12" s="28"/>
      <c r="R12" s="135"/>
    </row>
    <row r="13" spans="1:18" ht="12.75">
      <c r="A13" s="142"/>
      <c r="B13" s="38"/>
      <c r="C13" s="32"/>
      <c r="D13" s="27"/>
      <c r="E13" s="35"/>
      <c r="F13" s="27" t="s">
        <v>6</v>
      </c>
      <c r="G13" s="35" t="s">
        <v>7</v>
      </c>
      <c r="H13" s="7">
        <v>5307690</v>
      </c>
      <c r="I13" s="137"/>
      <c r="J13" s="135"/>
      <c r="K13" s="135"/>
      <c r="L13" s="135"/>
      <c r="M13" s="135"/>
      <c r="N13" s="30" t="s">
        <v>29</v>
      </c>
      <c r="O13" s="8" t="s">
        <v>6</v>
      </c>
      <c r="P13" s="40" t="s">
        <v>6</v>
      </c>
      <c r="Q13" s="138">
        <v>0.0529557859752316</v>
      </c>
      <c r="R13" s="135"/>
    </row>
    <row r="14" spans="1:18" ht="13.5" thickBot="1">
      <c r="A14" s="142"/>
      <c r="B14" s="306"/>
      <c r="C14" s="214"/>
      <c r="D14" s="215"/>
      <c r="E14" s="216"/>
      <c r="F14" s="215" t="s">
        <v>6</v>
      </c>
      <c r="G14" s="216" t="s">
        <v>122</v>
      </c>
      <c r="H14" s="307"/>
      <c r="I14" s="308"/>
      <c r="J14" s="272"/>
      <c r="K14" s="272"/>
      <c r="L14" s="272"/>
      <c r="M14" s="272"/>
      <c r="N14" s="231" t="s">
        <v>29</v>
      </c>
      <c r="O14" s="226" t="s">
        <v>6</v>
      </c>
      <c r="P14" s="219" t="s">
        <v>6</v>
      </c>
      <c r="Q14" s="309"/>
      <c r="R14" s="135"/>
    </row>
    <row r="15" spans="1:18" ht="25.5">
      <c r="A15" s="142"/>
      <c r="B15" s="38" t="s">
        <v>28</v>
      </c>
      <c r="C15" s="32" t="s">
        <v>155</v>
      </c>
      <c r="D15" s="29" t="s">
        <v>31</v>
      </c>
      <c r="E15" s="35" t="s">
        <v>3</v>
      </c>
      <c r="F15" s="27" t="s">
        <v>6</v>
      </c>
      <c r="G15" s="35" t="s">
        <v>120</v>
      </c>
      <c r="H15" s="7"/>
      <c r="I15" s="137"/>
      <c r="J15" s="135"/>
      <c r="K15" s="135"/>
      <c r="L15" s="135"/>
      <c r="M15" s="135"/>
      <c r="N15" s="30" t="s">
        <v>29</v>
      </c>
      <c r="O15" s="8" t="s">
        <v>6</v>
      </c>
      <c r="P15" s="139" t="s">
        <v>6</v>
      </c>
      <c r="Q15" s="139"/>
      <c r="R15" s="135"/>
    </row>
    <row r="16" spans="1:18" ht="12.75">
      <c r="A16" s="3"/>
      <c r="B16" s="4"/>
      <c r="C16" s="32"/>
      <c r="D16" s="6"/>
      <c r="E16" s="6"/>
      <c r="F16" s="27" t="s">
        <v>6</v>
      </c>
      <c r="G16" s="13" t="s">
        <v>7</v>
      </c>
      <c r="H16" s="7"/>
      <c r="I16" s="137"/>
      <c r="J16" s="135"/>
      <c r="K16" s="135"/>
      <c r="L16" s="135"/>
      <c r="M16" s="135"/>
      <c r="N16" s="30" t="s">
        <v>29</v>
      </c>
      <c r="O16" s="8" t="s">
        <v>6</v>
      </c>
      <c r="P16" s="139" t="s">
        <v>6</v>
      </c>
      <c r="Q16" s="139"/>
      <c r="R16" s="135"/>
    </row>
    <row r="17" spans="1:18" ht="13.5" thickBot="1">
      <c r="A17" s="3"/>
      <c r="B17" s="310"/>
      <c r="C17" s="214"/>
      <c r="D17" s="311"/>
      <c r="E17" s="311"/>
      <c r="F17" s="215" t="s">
        <v>6</v>
      </c>
      <c r="G17" s="216" t="s">
        <v>122</v>
      </c>
      <c r="H17" s="307"/>
      <c r="I17" s="308"/>
      <c r="J17" s="272"/>
      <c r="K17" s="272"/>
      <c r="L17" s="272"/>
      <c r="M17" s="272"/>
      <c r="N17" s="231" t="s">
        <v>29</v>
      </c>
      <c r="O17" s="226" t="s">
        <v>6</v>
      </c>
      <c r="P17" s="312" t="s">
        <v>6</v>
      </c>
      <c r="Q17" s="312"/>
      <c r="R17" s="135"/>
    </row>
    <row r="18" spans="1:18" ht="25.5">
      <c r="A18" s="3"/>
      <c r="B18" s="4" t="s">
        <v>28</v>
      </c>
      <c r="C18" s="32" t="s">
        <v>156</v>
      </c>
      <c r="D18" s="6" t="s">
        <v>2</v>
      </c>
      <c r="E18" s="35" t="s">
        <v>3</v>
      </c>
      <c r="F18" s="27" t="s">
        <v>6</v>
      </c>
      <c r="G18" s="35" t="s">
        <v>120</v>
      </c>
      <c r="H18" s="7"/>
      <c r="I18" s="137"/>
      <c r="J18" s="135"/>
      <c r="K18" s="135"/>
      <c r="L18" s="135"/>
      <c r="M18" s="135"/>
      <c r="N18" s="30" t="s">
        <v>29</v>
      </c>
      <c r="O18" s="8"/>
      <c r="P18" s="139" t="s">
        <v>6</v>
      </c>
      <c r="Q18" s="139" t="s">
        <v>6</v>
      </c>
      <c r="R18" s="135"/>
    </row>
    <row r="19" spans="1:18" ht="12.75">
      <c r="A19" s="3"/>
      <c r="B19" s="4"/>
      <c r="C19" s="32"/>
      <c r="D19" s="6"/>
      <c r="E19" s="6"/>
      <c r="F19" s="27" t="s">
        <v>6</v>
      </c>
      <c r="G19" s="13" t="s">
        <v>7</v>
      </c>
      <c r="H19" s="7"/>
      <c r="I19" s="137"/>
      <c r="J19" s="135"/>
      <c r="K19" s="135"/>
      <c r="L19" s="135"/>
      <c r="M19" s="135"/>
      <c r="N19" s="30" t="s">
        <v>29</v>
      </c>
      <c r="O19" s="8"/>
      <c r="P19" s="139" t="s">
        <v>6</v>
      </c>
      <c r="Q19" s="139" t="s">
        <v>6</v>
      </c>
      <c r="R19" s="135"/>
    </row>
    <row r="20" spans="1:18" ht="12.75">
      <c r="A20" s="41"/>
      <c r="B20" s="42"/>
      <c r="C20" s="43"/>
      <c r="D20" s="44"/>
      <c r="E20" s="44"/>
      <c r="F20" s="45" t="s">
        <v>6</v>
      </c>
      <c r="G20" s="171" t="s">
        <v>122</v>
      </c>
      <c r="H20" s="46"/>
      <c r="I20" s="305"/>
      <c r="J20" s="262"/>
      <c r="K20" s="262"/>
      <c r="L20" s="262"/>
      <c r="M20" s="262"/>
      <c r="N20" s="31" t="s">
        <v>29</v>
      </c>
      <c r="O20" s="21"/>
      <c r="P20" s="49" t="s">
        <v>6</v>
      </c>
      <c r="Q20" s="49" t="s">
        <v>6</v>
      </c>
      <c r="R20" s="135"/>
    </row>
    <row r="21" spans="1:18" ht="51">
      <c r="A21" s="196" t="s">
        <v>149</v>
      </c>
      <c r="B21" s="202"/>
      <c r="C21" s="198" t="s">
        <v>157</v>
      </c>
      <c r="D21" s="199" t="s">
        <v>85</v>
      </c>
      <c r="E21" s="199" t="s">
        <v>86</v>
      </c>
      <c r="F21" s="199"/>
      <c r="G21" s="313" t="s">
        <v>5</v>
      </c>
      <c r="H21" s="282"/>
      <c r="I21" s="314"/>
      <c r="J21" s="315">
        <v>1277</v>
      </c>
      <c r="K21" s="282"/>
      <c r="L21" s="282"/>
      <c r="M21" s="282"/>
      <c r="N21" s="282"/>
      <c r="O21" s="282"/>
      <c r="P21" s="282"/>
      <c r="Q21" s="282"/>
      <c r="R21" s="135"/>
    </row>
    <row r="22" spans="1:17" ht="13.5" thickBot="1">
      <c r="A22" s="169"/>
      <c r="B22" s="170"/>
      <c r="C22" s="243"/>
      <c r="D22" s="45"/>
      <c r="E22" s="45"/>
      <c r="F22" s="45"/>
      <c r="G22" s="263" t="s">
        <v>7</v>
      </c>
      <c r="H22" s="262"/>
      <c r="I22" s="305"/>
      <c r="J22" s="262"/>
      <c r="K22" s="262"/>
      <c r="L22" s="262"/>
      <c r="M22" s="262"/>
      <c r="N22" s="262"/>
      <c r="O22" s="262"/>
      <c r="P22" s="262"/>
      <c r="Q22" s="262"/>
    </row>
    <row r="23" spans="1:17" ht="63.75">
      <c r="A23" s="196" t="s">
        <v>150</v>
      </c>
      <c r="B23" s="202"/>
      <c r="C23" s="198" t="s">
        <v>152</v>
      </c>
      <c r="D23" s="199" t="s">
        <v>14</v>
      </c>
      <c r="E23" s="199" t="s">
        <v>87</v>
      </c>
      <c r="F23" s="199"/>
      <c r="G23" s="179" t="s">
        <v>120</v>
      </c>
      <c r="H23" s="282"/>
      <c r="I23" s="314"/>
      <c r="J23" s="315">
        <v>51</v>
      </c>
      <c r="K23" s="282"/>
      <c r="L23" s="282"/>
      <c r="M23" s="282"/>
      <c r="N23" s="282"/>
      <c r="O23" s="282"/>
      <c r="P23" s="282"/>
      <c r="Q23" s="282"/>
    </row>
    <row r="24" spans="1:17" ht="12.75">
      <c r="A24" s="142"/>
      <c r="B24" s="40"/>
      <c r="C24" s="32"/>
      <c r="D24" s="27"/>
      <c r="E24" s="27"/>
      <c r="F24" s="27"/>
      <c r="G24" s="35" t="s">
        <v>7</v>
      </c>
      <c r="H24" s="135"/>
      <c r="I24" s="137"/>
      <c r="J24" s="151"/>
      <c r="K24" s="135"/>
      <c r="L24" s="135"/>
      <c r="M24" s="135"/>
      <c r="N24" s="135"/>
      <c r="O24" s="135"/>
      <c r="P24" s="135"/>
      <c r="Q24" s="135"/>
    </row>
    <row r="25" spans="1:17" ht="13.5" thickBot="1">
      <c r="A25" s="142"/>
      <c r="B25" s="40"/>
      <c r="C25" s="214"/>
      <c r="D25" s="215"/>
      <c r="E25" s="215"/>
      <c r="F25" s="215"/>
      <c r="G25" s="216" t="s">
        <v>122</v>
      </c>
      <c r="H25" s="272"/>
      <c r="I25" s="308"/>
      <c r="J25" s="269"/>
      <c r="K25" s="272"/>
      <c r="L25" s="272"/>
      <c r="M25" s="272"/>
      <c r="N25" s="272"/>
      <c r="O25" s="272"/>
      <c r="P25" s="272"/>
      <c r="Q25" s="272"/>
    </row>
    <row r="26" spans="1:10" ht="25.5">
      <c r="A26" s="142"/>
      <c r="B26" s="40"/>
      <c r="C26" s="32" t="s">
        <v>158</v>
      </c>
      <c r="D26" s="27" t="s">
        <v>14</v>
      </c>
      <c r="E26" s="165" t="s">
        <v>87</v>
      </c>
      <c r="F26" s="165"/>
      <c r="G26" s="35" t="s">
        <v>120</v>
      </c>
      <c r="J26" s="160">
        <v>126356</v>
      </c>
    </row>
    <row r="27" spans="1:10" ht="12.75">
      <c r="A27" s="162"/>
      <c r="B27" s="163"/>
      <c r="C27" s="32"/>
      <c r="D27" s="27"/>
      <c r="E27" s="165"/>
      <c r="F27" s="165"/>
      <c r="G27" s="168" t="s">
        <v>7</v>
      </c>
      <c r="J27" s="160"/>
    </row>
    <row r="28" spans="1:17" ht="12.75">
      <c r="A28" s="169"/>
      <c r="B28" s="170"/>
      <c r="C28" s="43"/>
      <c r="D28" s="45"/>
      <c r="E28" s="45"/>
      <c r="F28" s="45"/>
      <c r="G28" s="171" t="s">
        <v>122</v>
      </c>
      <c r="H28" s="262"/>
      <c r="I28" s="305"/>
      <c r="J28" s="262"/>
      <c r="K28" s="262"/>
      <c r="L28" s="262"/>
      <c r="M28" s="262"/>
      <c r="N28" s="262"/>
      <c r="O28" s="262"/>
      <c r="P28" s="262"/>
      <c r="Q28" s="262"/>
    </row>
    <row r="29" ht="12.75"/>
    <row r="35" ht="12.75"/>
    <row r="36" ht="12.75"/>
    <row r="37" ht="12.75"/>
  </sheetData>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9" customWidth="1"/>
  </cols>
  <sheetData>
    <row r="2" spans="2:21" ht="15.75">
      <c r="B2" s="52"/>
      <c r="C2" s="19"/>
      <c r="D2" s="19"/>
      <c r="E2" s="19"/>
      <c r="F2" s="19"/>
      <c r="G2" s="19"/>
      <c r="H2" s="19"/>
      <c r="I2" s="19"/>
      <c r="J2" s="19"/>
      <c r="K2" s="19"/>
      <c r="L2" s="19"/>
      <c r="M2" s="19"/>
      <c r="N2" s="19"/>
      <c r="O2" s="19"/>
      <c r="P2" s="19"/>
      <c r="Q2" s="19"/>
      <c r="R2" s="19"/>
      <c r="S2" s="19"/>
      <c r="T2" s="19"/>
      <c r="U2" s="19"/>
    </row>
    <row r="3" spans="2:20" ht="12.75">
      <c r="B3" s="53"/>
      <c r="C3" s="54" t="s">
        <v>47</v>
      </c>
      <c r="D3" s="55" t="s">
        <v>48</v>
      </c>
      <c r="E3" s="54"/>
      <c r="F3" s="54"/>
      <c r="G3" s="54"/>
      <c r="H3" s="54"/>
      <c r="I3" s="54"/>
      <c r="J3" s="54"/>
      <c r="K3" s="54"/>
      <c r="L3" s="54"/>
      <c r="M3" s="54"/>
      <c r="N3" s="54"/>
      <c r="O3" s="54"/>
      <c r="P3" s="54"/>
      <c r="Q3" s="54"/>
      <c r="R3" s="54"/>
      <c r="S3" s="54"/>
      <c r="T3" s="56"/>
    </row>
    <row r="4" spans="2:20" ht="33.75">
      <c r="B4" s="53"/>
      <c r="C4" s="57" t="s">
        <v>58</v>
      </c>
      <c r="D4" s="57" t="s">
        <v>59</v>
      </c>
      <c r="E4" s="57" t="s">
        <v>60</v>
      </c>
      <c r="F4" s="57" t="s">
        <v>61</v>
      </c>
      <c r="G4" s="57" t="s">
        <v>62</v>
      </c>
      <c r="H4" s="57" t="s">
        <v>63</v>
      </c>
      <c r="I4" s="57" t="s">
        <v>64</v>
      </c>
      <c r="J4" s="57" t="s">
        <v>65</v>
      </c>
      <c r="K4" s="57" t="s">
        <v>66</v>
      </c>
      <c r="L4" s="57" t="s">
        <v>67</v>
      </c>
      <c r="M4" s="57" t="s">
        <v>68</v>
      </c>
      <c r="N4" s="57" t="s">
        <v>69</v>
      </c>
      <c r="O4" s="57" t="s">
        <v>70</v>
      </c>
      <c r="P4" s="57" t="s">
        <v>71</v>
      </c>
      <c r="Q4" s="57" t="s">
        <v>72</v>
      </c>
      <c r="R4" s="57" t="s">
        <v>73</v>
      </c>
      <c r="S4" s="57" t="s">
        <v>74</v>
      </c>
      <c r="T4" s="58" t="s">
        <v>75</v>
      </c>
    </row>
    <row r="5" spans="2:21" ht="12.75">
      <c r="B5" s="53"/>
      <c r="C5" s="59">
        <v>1.003064590906858</v>
      </c>
      <c r="D5" s="59">
        <v>0.051341204681666336</v>
      </c>
      <c r="E5" s="59">
        <v>0.11918284228237375</v>
      </c>
      <c r="F5" s="59">
        <v>0.2914489278345451</v>
      </c>
      <c r="G5" s="59">
        <v>0.048092009112792294</v>
      </c>
      <c r="H5" s="59">
        <v>0.014973702471015916</v>
      </c>
      <c r="I5" s="59">
        <v>0.02135465280506976</v>
      </c>
      <c r="J5" s="59">
        <v>0.01875138165651405</v>
      </c>
      <c r="K5" s="59">
        <v>0</v>
      </c>
      <c r="L5" s="59">
        <v>0</v>
      </c>
      <c r="M5" s="59">
        <v>0.029125319316172134</v>
      </c>
      <c r="N5" s="59">
        <v>0</v>
      </c>
      <c r="O5" s="59">
        <v>0</v>
      </c>
      <c r="P5" s="59">
        <v>0</v>
      </c>
      <c r="Q5" s="59">
        <v>0</v>
      </c>
      <c r="R5" s="59">
        <v>0</v>
      </c>
      <c r="S5" s="59">
        <v>0</v>
      </c>
      <c r="T5" s="60">
        <v>1.5973346310670076</v>
      </c>
      <c r="U5" s="61"/>
    </row>
    <row r="6" spans="2:20" ht="12.75">
      <c r="B6" s="53"/>
      <c r="C6" s="62">
        <v>0.8451086188284757</v>
      </c>
      <c r="D6" s="62">
        <v>0.04254303732742458</v>
      </c>
      <c r="E6" s="62">
        <v>0.0952680415885461</v>
      </c>
      <c r="F6" s="62">
        <v>0.3293823760013636</v>
      </c>
      <c r="G6" s="62">
        <v>0.06392800409067666</v>
      </c>
      <c r="H6" s="62">
        <v>0</v>
      </c>
      <c r="I6" s="62">
        <v>0.01418101244247486</v>
      </c>
      <c r="J6" s="62">
        <v>0.023100869268791544</v>
      </c>
      <c r="K6" s="62">
        <v>0</v>
      </c>
      <c r="L6" s="62">
        <v>0</v>
      </c>
      <c r="M6" s="62">
        <v>0.045180705641724904</v>
      </c>
      <c r="N6" s="62">
        <v>0</v>
      </c>
      <c r="O6" s="62">
        <v>0</v>
      </c>
      <c r="P6" s="62">
        <v>0</v>
      </c>
      <c r="Q6" s="62">
        <v>0</v>
      </c>
      <c r="R6" s="62">
        <v>0</v>
      </c>
      <c r="S6" s="62">
        <v>0</v>
      </c>
      <c r="T6" s="63">
        <v>1.4586926651894778</v>
      </c>
    </row>
    <row r="7" spans="2:20" ht="12.75">
      <c r="B7" s="53"/>
      <c r="C7" s="64">
        <v>0.687152646750093</v>
      </c>
      <c r="D7" s="64">
        <v>0.0337448699731828</v>
      </c>
      <c r="E7" s="64">
        <v>0.0713532408947185</v>
      </c>
      <c r="F7" s="64">
        <v>0.367315824168182</v>
      </c>
      <c r="G7" s="64">
        <v>0.079763999068561</v>
      </c>
      <c r="H7" s="64">
        <v>-0.0149737024710159</v>
      </c>
      <c r="I7" s="64">
        <v>0.00700737207987996</v>
      </c>
      <c r="J7" s="64">
        <v>0.027450356881069</v>
      </c>
      <c r="K7" s="64">
        <v>0</v>
      </c>
      <c r="L7" s="64">
        <v>0</v>
      </c>
      <c r="M7" s="64">
        <v>0.0612360919672776</v>
      </c>
      <c r="N7" s="64">
        <v>0</v>
      </c>
      <c r="O7" s="64">
        <v>0</v>
      </c>
      <c r="P7" s="64">
        <v>0</v>
      </c>
      <c r="Q7" s="64">
        <v>0</v>
      </c>
      <c r="R7" s="64">
        <v>0</v>
      </c>
      <c r="S7" s="64">
        <v>0</v>
      </c>
      <c r="T7" s="65">
        <v>1.32005069931195</v>
      </c>
    </row>
    <row r="8" spans="2:20" ht="12.75">
      <c r="B8" s="53" t="s">
        <v>49</v>
      </c>
      <c r="C8" s="66">
        <f aca="true" t="shared" si="0" ref="C8:T8">AVERAGE(C5:C7)</f>
        <v>0.8451086188284757</v>
      </c>
      <c r="D8" s="66">
        <f t="shared" si="0"/>
        <v>0.04254303732742457</v>
      </c>
      <c r="E8" s="66">
        <f t="shared" si="0"/>
        <v>0.09526804158854611</v>
      </c>
      <c r="F8" s="66">
        <f t="shared" si="0"/>
        <v>0.3293823760013636</v>
      </c>
      <c r="G8" s="66">
        <f t="shared" si="0"/>
        <v>0.06392800409067666</v>
      </c>
      <c r="H8" s="66">
        <f t="shared" si="0"/>
        <v>5.204170427930421E-18</v>
      </c>
      <c r="I8" s="66">
        <f t="shared" si="0"/>
        <v>0.01418101244247486</v>
      </c>
      <c r="J8" s="66">
        <f t="shared" si="0"/>
        <v>0.02310086926879153</v>
      </c>
      <c r="K8" s="66">
        <f t="shared" si="0"/>
        <v>0</v>
      </c>
      <c r="L8" s="66">
        <f t="shared" si="0"/>
        <v>0</v>
      </c>
      <c r="M8" s="66">
        <f t="shared" si="0"/>
        <v>0.04518070564172488</v>
      </c>
      <c r="N8" s="66">
        <f t="shared" si="0"/>
        <v>0</v>
      </c>
      <c r="O8" s="66">
        <f t="shared" si="0"/>
        <v>0</v>
      </c>
      <c r="P8" s="66">
        <f t="shared" si="0"/>
        <v>0</v>
      </c>
      <c r="Q8" s="66">
        <f t="shared" si="0"/>
        <v>0</v>
      </c>
      <c r="R8" s="66">
        <f t="shared" si="0"/>
        <v>0</v>
      </c>
      <c r="S8" s="66">
        <f t="shared" si="0"/>
        <v>0</v>
      </c>
      <c r="T8" s="67">
        <f t="shared" si="0"/>
        <v>1.4586926651894785</v>
      </c>
    </row>
    <row r="9" spans="2:20" ht="12.75">
      <c r="B9" s="53" t="s">
        <v>50</v>
      </c>
      <c r="C9" s="68">
        <f aca="true" t="shared" si="1" ref="C9:T9">C8/$T$8*100</f>
        <v>57.93602991201025</v>
      </c>
      <c r="D9" s="68">
        <f t="shared" si="1"/>
        <v>2.916518218174381</v>
      </c>
      <c r="E9" s="68">
        <f t="shared" si="1"/>
        <v>6.531056463231833</v>
      </c>
      <c r="F9" s="68">
        <f t="shared" si="1"/>
        <v>22.58065621784546</v>
      </c>
      <c r="G9" s="68">
        <f t="shared" si="1"/>
        <v>4.382554709176704</v>
      </c>
      <c r="H9" s="68">
        <f t="shared" si="1"/>
        <v>3.5676949313064654E-16</v>
      </c>
      <c r="I9" s="68">
        <f t="shared" si="1"/>
        <v>0.9721727393914606</v>
      </c>
      <c r="J9" s="68">
        <f t="shared" si="1"/>
        <v>1.5836693924686882</v>
      </c>
      <c r="K9" s="68">
        <f t="shared" si="1"/>
        <v>0</v>
      </c>
      <c r="L9" s="68">
        <f t="shared" si="1"/>
        <v>0</v>
      </c>
      <c r="M9" s="68">
        <f t="shared" si="1"/>
        <v>3.097342347701192</v>
      </c>
      <c r="N9" s="68">
        <f t="shared" si="1"/>
        <v>0</v>
      </c>
      <c r="O9" s="68">
        <f t="shared" si="1"/>
        <v>0</v>
      </c>
      <c r="P9" s="68">
        <f t="shared" si="1"/>
        <v>0</v>
      </c>
      <c r="Q9" s="68">
        <f t="shared" si="1"/>
        <v>0</v>
      </c>
      <c r="R9" s="68">
        <f t="shared" si="1"/>
        <v>0</v>
      </c>
      <c r="S9" s="68">
        <f t="shared" si="1"/>
        <v>0</v>
      </c>
      <c r="T9" s="69">
        <f t="shared" si="1"/>
        <v>100</v>
      </c>
    </row>
    <row r="10" spans="2:20" ht="12.75">
      <c r="B10" s="53" t="s">
        <v>51</v>
      </c>
      <c r="C10" s="70">
        <v>0.1</v>
      </c>
      <c r="D10" s="70">
        <v>1</v>
      </c>
      <c r="E10" s="70">
        <v>0.03</v>
      </c>
      <c r="F10" s="70">
        <v>0.3</v>
      </c>
      <c r="G10" s="70">
        <v>1</v>
      </c>
      <c r="H10" s="70">
        <v>0.1</v>
      </c>
      <c r="I10" s="70">
        <v>0.1</v>
      </c>
      <c r="J10" s="70">
        <v>0.1</v>
      </c>
      <c r="K10" s="70">
        <v>0.1</v>
      </c>
      <c r="L10" s="70">
        <v>0.1</v>
      </c>
      <c r="M10" s="70">
        <v>0.1</v>
      </c>
      <c r="N10" s="70">
        <v>0.1</v>
      </c>
      <c r="O10" s="70">
        <v>0.01</v>
      </c>
      <c r="P10" s="70">
        <v>0.01</v>
      </c>
      <c r="Q10" s="70">
        <v>0.0003</v>
      </c>
      <c r="R10" s="70">
        <v>0.0003</v>
      </c>
      <c r="S10" s="70">
        <v>0.0003</v>
      </c>
      <c r="T10" s="71"/>
    </row>
    <row r="11" spans="2:20" ht="12.75">
      <c r="B11" s="53" t="s">
        <v>52</v>
      </c>
      <c r="C11" s="9">
        <f aca="true" t="shared" si="2" ref="C11:S11">C9/100*C10</f>
        <v>0.057936029912010245</v>
      </c>
      <c r="D11" s="9">
        <f t="shared" si="2"/>
        <v>0.029165182181743812</v>
      </c>
      <c r="E11" s="9">
        <f t="shared" si="2"/>
        <v>0.0019593169389695497</v>
      </c>
      <c r="F11" s="9">
        <f t="shared" si="2"/>
        <v>0.06774196865353636</v>
      </c>
      <c r="G11" s="9">
        <f t="shared" si="2"/>
        <v>0.04382554709176704</v>
      </c>
      <c r="H11" s="9">
        <f t="shared" si="2"/>
        <v>3.567694931306466E-19</v>
      </c>
      <c r="I11" s="9">
        <f t="shared" si="2"/>
        <v>0.0009721727393914607</v>
      </c>
      <c r="J11" s="9">
        <f t="shared" si="2"/>
        <v>0.0015836693924686882</v>
      </c>
      <c r="K11" s="9">
        <f t="shared" si="2"/>
        <v>0</v>
      </c>
      <c r="L11" s="9">
        <f t="shared" si="2"/>
        <v>0</v>
      </c>
      <c r="M11" s="9">
        <f t="shared" si="2"/>
        <v>0.003097342347701192</v>
      </c>
      <c r="N11" s="9">
        <f t="shared" si="2"/>
        <v>0</v>
      </c>
      <c r="O11" s="9">
        <f t="shared" si="2"/>
        <v>0</v>
      </c>
      <c r="P11" s="9">
        <f t="shared" si="2"/>
        <v>0</v>
      </c>
      <c r="Q11" s="9">
        <f t="shared" si="2"/>
        <v>0</v>
      </c>
      <c r="R11" s="9">
        <f t="shared" si="2"/>
        <v>0</v>
      </c>
      <c r="S11" s="9">
        <f t="shared" si="2"/>
        <v>0</v>
      </c>
      <c r="T11" s="72">
        <f>SUM(C11:S11)</f>
        <v>0.20628122925758835</v>
      </c>
    </row>
    <row r="12" spans="2:20" ht="12.75">
      <c r="B12" s="53"/>
      <c r="T12" s="71"/>
    </row>
    <row r="13" spans="2:20" ht="12.75">
      <c r="B13" s="53"/>
      <c r="C13" s="9" t="s">
        <v>53</v>
      </c>
      <c r="T13" s="71"/>
    </row>
    <row r="14" spans="2:20" ht="33.75">
      <c r="B14" s="53"/>
      <c r="C14" s="57" t="s">
        <v>58</v>
      </c>
      <c r="D14" s="57" t="s">
        <v>59</v>
      </c>
      <c r="E14" s="57" t="s">
        <v>60</v>
      </c>
      <c r="F14" s="57" t="s">
        <v>61</v>
      </c>
      <c r="G14" s="57" t="s">
        <v>62</v>
      </c>
      <c r="H14" s="57" t="s">
        <v>63</v>
      </c>
      <c r="I14" s="57" t="s">
        <v>64</v>
      </c>
      <c r="J14" s="57" t="s">
        <v>65</v>
      </c>
      <c r="K14" s="57" t="s">
        <v>66</v>
      </c>
      <c r="L14" s="57" t="s">
        <v>67</v>
      </c>
      <c r="M14" s="57" t="s">
        <v>68</v>
      </c>
      <c r="N14" s="57" t="s">
        <v>69</v>
      </c>
      <c r="O14" s="57" t="s">
        <v>70</v>
      </c>
      <c r="P14" s="57" t="s">
        <v>71</v>
      </c>
      <c r="Q14" s="57" t="s">
        <v>72</v>
      </c>
      <c r="R14" s="57" t="s">
        <v>73</v>
      </c>
      <c r="S14" s="57" t="s">
        <v>74</v>
      </c>
      <c r="T14" s="58" t="s">
        <v>75</v>
      </c>
    </row>
    <row r="15" spans="2:20" ht="12.75">
      <c r="B15" s="53"/>
      <c r="C15" s="59">
        <v>0.18620400038915688</v>
      </c>
      <c r="D15" s="59">
        <v>0.026697379733188052</v>
      </c>
      <c r="E15" s="59">
        <v>0.0418433121347914</v>
      </c>
      <c r="F15" s="59">
        <v>0.1451047511074125</v>
      </c>
      <c r="G15" s="59">
        <v>0.08246253060154685</v>
      </c>
      <c r="H15" s="59">
        <v>0.015065207852262645</v>
      </c>
      <c r="I15" s="59">
        <v>0.015677012455053072</v>
      </c>
      <c r="J15" s="59">
        <v>0.018543233310367547</v>
      </c>
      <c r="K15" s="59">
        <v>0</v>
      </c>
      <c r="L15" s="59">
        <v>0.006386511691627683</v>
      </c>
      <c r="M15" s="59">
        <v>0.08631610976648445</v>
      </c>
      <c r="N15" s="59">
        <v>0.01219735689991671</v>
      </c>
      <c r="O15" s="59">
        <v>0</v>
      </c>
      <c r="P15" s="59">
        <v>0</v>
      </c>
      <c r="Q15" s="59">
        <v>0.030117484130876046</v>
      </c>
      <c r="R15" s="59">
        <v>0</v>
      </c>
      <c r="S15" s="59">
        <v>0.3084020819972534</v>
      </c>
      <c r="T15" s="60">
        <v>0.9750169720699372</v>
      </c>
    </row>
    <row r="16" spans="2:20" ht="12.75">
      <c r="B16" s="53"/>
      <c r="C16" s="62">
        <v>0.345398881785002</v>
      </c>
      <c r="D16" s="62">
        <v>0.04907556114840037</v>
      </c>
      <c r="E16" s="62">
        <v>0.048942534182613844</v>
      </c>
      <c r="F16" s="62">
        <v>0.2020712364280037</v>
      </c>
      <c r="G16" s="62">
        <v>0.1210167772072101</v>
      </c>
      <c r="H16" s="62">
        <v>0.012530628458332733</v>
      </c>
      <c r="I16" s="62">
        <v>0.015589750890530002</v>
      </c>
      <c r="J16" s="62">
        <v>0.014969505942508277</v>
      </c>
      <c r="K16" s="62">
        <v>0</v>
      </c>
      <c r="L16" s="62">
        <v>0.008493336704969236</v>
      </c>
      <c r="M16" s="62">
        <v>0.08811836831405583</v>
      </c>
      <c r="N16" s="62">
        <v>0.008108482385525318</v>
      </c>
      <c r="O16" s="62">
        <v>0.018225829253189215</v>
      </c>
      <c r="P16" s="62">
        <v>0</v>
      </c>
      <c r="Q16" s="62">
        <v>0.021576780711587706</v>
      </c>
      <c r="R16" s="62">
        <v>0.014030800690521622</v>
      </c>
      <c r="S16" s="62">
        <v>0.43655035850179835</v>
      </c>
      <c r="T16" s="63">
        <v>1.4046988326042484</v>
      </c>
    </row>
    <row r="17" spans="2:21" ht="12.75">
      <c r="B17" s="73"/>
      <c r="C17" s="64">
        <v>0.25086843347428645</v>
      </c>
      <c r="D17" s="64">
        <v>0.04023467892614838</v>
      </c>
      <c r="E17" s="64">
        <v>0.09388885829481826</v>
      </c>
      <c r="F17" s="64">
        <v>0.24459569770872436</v>
      </c>
      <c r="G17" s="64">
        <v>0.10427894089881085</v>
      </c>
      <c r="H17" s="64">
        <v>0.06008880420887053</v>
      </c>
      <c r="I17" s="64">
        <v>0.049660005900285534</v>
      </c>
      <c r="J17" s="64">
        <v>0.03772781001081746</v>
      </c>
      <c r="K17" s="64">
        <v>0</v>
      </c>
      <c r="L17" s="64">
        <v>0.020588086340839955</v>
      </c>
      <c r="M17" s="64">
        <v>0.08150159799390361</v>
      </c>
      <c r="N17" s="64">
        <v>0.016912857704789185</v>
      </c>
      <c r="O17" s="64">
        <v>0</v>
      </c>
      <c r="P17" s="64">
        <v>0</v>
      </c>
      <c r="Q17" s="64">
        <v>0.03776977087225914</v>
      </c>
      <c r="R17" s="64">
        <v>0</v>
      </c>
      <c r="S17" s="64">
        <v>0.13647333562788988</v>
      </c>
      <c r="T17" s="65">
        <v>1.1745888779624436</v>
      </c>
      <c r="U17" s="19"/>
    </row>
    <row r="18" spans="2:20" ht="12.75">
      <c r="B18" s="53"/>
      <c r="C18" s="62">
        <v>0.38469441288558526</v>
      </c>
      <c r="D18" s="62">
        <v>0.047522154320840296</v>
      </c>
      <c r="E18" s="62">
        <v>0.13149213486729416</v>
      </c>
      <c r="F18" s="62">
        <v>0.34113688838926437</v>
      </c>
      <c r="G18" s="62">
        <v>0.14216921894807424</v>
      </c>
      <c r="H18" s="62">
        <v>0.07690028363111658</v>
      </c>
      <c r="I18" s="62">
        <v>0.06548076570435435</v>
      </c>
      <c r="J18" s="62">
        <v>0.05006745856155404</v>
      </c>
      <c r="K18" s="62">
        <v>0</v>
      </c>
      <c r="L18" s="62">
        <v>0.02752753892702545</v>
      </c>
      <c r="M18" s="62">
        <v>0.09884019589083752</v>
      </c>
      <c r="N18" s="62">
        <v>0.0241583211748668</v>
      </c>
      <c r="O18" s="62">
        <v>0</v>
      </c>
      <c r="P18" s="62">
        <v>0</v>
      </c>
      <c r="Q18" s="62">
        <v>0.04838688539947573</v>
      </c>
      <c r="R18" s="62">
        <v>0</v>
      </c>
      <c r="S18" s="62">
        <v>0.12858341405758028</v>
      </c>
      <c r="T18" s="63">
        <v>1.5669596727578694</v>
      </c>
    </row>
    <row r="19" spans="2:20" ht="12.75">
      <c r="B19" s="53"/>
      <c r="C19" s="62">
        <v>0.08822576041297654</v>
      </c>
      <c r="D19" s="62">
        <v>0.016487393086694703</v>
      </c>
      <c r="E19" s="62">
        <v>0.0320201629637128</v>
      </c>
      <c r="F19" s="62">
        <v>0.087606316109115</v>
      </c>
      <c r="G19" s="62">
        <v>0.04039459486816142</v>
      </c>
      <c r="H19" s="62">
        <v>0.015433311402398939</v>
      </c>
      <c r="I19" s="62">
        <v>0.010204909155321648</v>
      </c>
      <c r="J19" s="62">
        <v>0</v>
      </c>
      <c r="K19" s="62">
        <v>0</v>
      </c>
      <c r="L19" s="62">
        <v>0</v>
      </c>
      <c r="M19" s="62">
        <v>0</v>
      </c>
      <c r="N19" s="62">
        <v>0</v>
      </c>
      <c r="O19" s="62">
        <v>0</v>
      </c>
      <c r="P19" s="62">
        <v>0</v>
      </c>
      <c r="Q19" s="62">
        <v>0</v>
      </c>
      <c r="R19" s="62">
        <v>0</v>
      </c>
      <c r="S19" s="62">
        <v>0</v>
      </c>
      <c r="T19" s="63">
        <v>0.2903724479983811</v>
      </c>
    </row>
    <row r="20" spans="2:20" ht="12.75">
      <c r="B20" s="53"/>
      <c r="C20" s="64">
        <v>0.057842020262513984</v>
      </c>
      <c r="D20" s="64">
        <v>0.011493876328791668</v>
      </c>
      <c r="E20" s="64">
        <v>0.014914613964166197</v>
      </c>
      <c r="F20" s="64">
        <v>0.06186558566651657</v>
      </c>
      <c r="G20" s="64">
        <v>0.022453388231771093</v>
      </c>
      <c r="H20" s="64">
        <v>0.00768728452363123</v>
      </c>
      <c r="I20" s="64">
        <v>0.008889302789838743</v>
      </c>
      <c r="J20" s="64">
        <v>0.007118137445725366</v>
      </c>
      <c r="K20" s="64">
        <v>0</v>
      </c>
      <c r="L20" s="64">
        <v>0</v>
      </c>
      <c r="M20" s="64">
        <v>0.020235271747267438</v>
      </c>
      <c r="N20" s="64">
        <v>0</v>
      </c>
      <c r="O20" s="64">
        <v>0.023152666566851</v>
      </c>
      <c r="P20" s="64">
        <v>0</v>
      </c>
      <c r="Q20" s="64">
        <v>0.00698141438339065</v>
      </c>
      <c r="R20" s="64">
        <v>0.02958663672206394</v>
      </c>
      <c r="S20" s="64">
        <v>0.03811850476618218</v>
      </c>
      <c r="T20" s="65">
        <v>0.31033870339871006</v>
      </c>
    </row>
    <row r="21" spans="2:20" ht="12.75">
      <c r="B21" s="53" t="s">
        <v>49</v>
      </c>
      <c r="C21" s="66">
        <f aca="true" t="shared" si="3" ref="C21:T21">AVERAGE(C15:C20)</f>
        <v>0.2188722515349202</v>
      </c>
      <c r="D21" s="66">
        <f t="shared" si="3"/>
        <v>0.031918507257343916</v>
      </c>
      <c r="E21" s="66">
        <f t="shared" si="3"/>
        <v>0.06051693606789945</v>
      </c>
      <c r="F21" s="66">
        <f t="shared" si="3"/>
        <v>0.18039674590150612</v>
      </c>
      <c r="G21" s="66">
        <f t="shared" si="3"/>
        <v>0.0854625751259291</v>
      </c>
      <c r="H21" s="66">
        <f t="shared" si="3"/>
        <v>0.03128425334610211</v>
      </c>
      <c r="I21" s="66">
        <f t="shared" si="3"/>
        <v>0.027583624482563893</v>
      </c>
      <c r="J21" s="66">
        <f t="shared" si="3"/>
        <v>0.021404357545162112</v>
      </c>
      <c r="K21" s="66">
        <f t="shared" si="3"/>
        <v>0</v>
      </c>
      <c r="L21" s="66">
        <f t="shared" si="3"/>
        <v>0.010499245610743722</v>
      </c>
      <c r="M21" s="66">
        <f t="shared" si="3"/>
        <v>0.06250192395209148</v>
      </c>
      <c r="N21" s="66">
        <f t="shared" si="3"/>
        <v>0.010229503027516336</v>
      </c>
      <c r="O21" s="66">
        <f t="shared" si="3"/>
        <v>0.006896415970006703</v>
      </c>
      <c r="P21" s="66">
        <f t="shared" si="3"/>
        <v>0</v>
      </c>
      <c r="Q21" s="66">
        <f t="shared" si="3"/>
        <v>0.02413872258293154</v>
      </c>
      <c r="R21" s="66">
        <f t="shared" si="3"/>
        <v>0.007269572902097593</v>
      </c>
      <c r="S21" s="66">
        <f t="shared" si="3"/>
        <v>0.17468794915845068</v>
      </c>
      <c r="T21" s="67">
        <f t="shared" si="3"/>
        <v>0.953662584465265</v>
      </c>
    </row>
    <row r="22" spans="2:20" ht="12.75">
      <c r="B22" s="53" t="s">
        <v>50</v>
      </c>
      <c r="C22" s="68">
        <f aca="true" t="shared" si="4" ref="C22:T22">C21/$T$21*100</f>
        <v>22.950701338214465</v>
      </c>
      <c r="D22" s="68">
        <f t="shared" si="4"/>
        <v>3.346939240071075</v>
      </c>
      <c r="E22" s="68">
        <f t="shared" si="4"/>
        <v>6.34573873964368</v>
      </c>
      <c r="F22" s="68">
        <f t="shared" si="4"/>
        <v>18.91620252698261</v>
      </c>
      <c r="G22" s="68">
        <f t="shared" si="4"/>
        <v>8.961510760522227</v>
      </c>
      <c r="H22" s="68">
        <f t="shared" si="4"/>
        <v>3.2804320789877406</v>
      </c>
      <c r="I22" s="68">
        <f t="shared" si="4"/>
        <v>2.8923882442164284</v>
      </c>
      <c r="J22" s="68">
        <f t="shared" si="4"/>
        <v>2.24443717241606</v>
      </c>
      <c r="K22" s="68">
        <f t="shared" si="4"/>
        <v>0</v>
      </c>
      <c r="L22" s="68">
        <f t="shared" si="4"/>
        <v>1.1009392401224203</v>
      </c>
      <c r="M22" s="68">
        <f t="shared" si="4"/>
        <v>6.553882365757002</v>
      </c>
      <c r="N22" s="68">
        <f t="shared" si="4"/>
        <v>1.0726543322712188</v>
      </c>
      <c r="O22" s="68">
        <f t="shared" si="4"/>
        <v>0.7231505232926425</v>
      </c>
      <c r="P22" s="68">
        <f t="shared" si="4"/>
        <v>0</v>
      </c>
      <c r="Q22" s="68">
        <f t="shared" si="4"/>
        <v>2.5311596550122117</v>
      </c>
      <c r="R22" s="68">
        <f t="shared" si="4"/>
        <v>0.7622793449712372</v>
      </c>
      <c r="S22" s="68">
        <f t="shared" si="4"/>
        <v>18.31758443751898</v>
      </c>
      <c r="T22" s="69">
        <f t="shared" si="4"/>
        <v>100</v>
      </c>
    </row>
    <row r="23" spans="2:20" ht="12.75">
      <c r="B23" s="53" t="s">
        <v>51</v>
      </c>
      <c r="C23" s="9">
        <f aca="true" t="shared" si="5" ref="C23:S23">C22/100*C10</f>
        <v>0.022950701338214467</v>
      </c>
      <c r="D23" s="9">
        <f t="shared" si="5"/>
        <v>0.03346939240071075</v>
      </c>
      <c r="E23" s="9">
        <f t="shared" si="5"/>
        <v>0.001903721621893104</v>
      </c>
      <c r="F23" s="9">
        <f t="shared" si="5"/>
        <v>0.056748607580947824</v>
      </c>
      <c r="G23" s="9">
        <f t="shared" si="5"/>
        <v>0.08961510760522227</v>
      </c>
      <c r="H23" s="9">
        <f t="shared" si="5"/>
        <v>0.0032804320789877406</v>
      </c>
      <c r="I23" s="9">
        <f t="shared" si="5"/>
        <v>0.0028923882442164284</v>
      </c>
      <c r="J23" s="9">
        <f t="shared" si="5"/>
        <v>0.0022444371724160603</v>
      </c>
      <c r="K23" s="9">
        <f t="shared" si="5"/>
        <v>0</v>
      </c>
      <c r="L23" s="9">
        <f t="shared" si="5"/>
        <v>0.0011009392401224204</v>
      </c>
      <c r="M23" s="9">
        <f t="shared" si="5"/>
        <v>0.006553882365757002</v>
      </c>
      <c r="N23" s="9">
        <f t="shared" si="5"/>
        <v>0.001072654332271219</v>
      </c>
      <c r="O23" s="9">
        <f t="shared" si="5"/>
        <v>7.231505232926425E-05</v>
      </c>
      <c r="P23" s="9">
        <f t="shared" si="5"/>
        <v>0</v>
      </c>
      <c r="Q23" s="9">
        <f t="shared" si="5"/>
        <v>7.593478965036634E-06</v>
      </c>
      <c r="R23" s="9">
        <f t="shared" si="5"/>
        <v>2.2868380349137114E-06</v>
      </c>
      <c r="S23" s="9">
        <f t="shared" si="5"/>
        <v>5.495275331255694E-05</v>
      </c>
      <c r="T23" s="72">
        <f>SUM(C23:S23)</f>
        <v>0.22196941210340101</v>
      </c>
    </row>
    <row r="24" spans="2:20" ht="12.75">
      <c r="B24" s="53" t="s">
        <v>52</v>
      </c>
      <c r="T24" s="71"/>
    </row>
    <row r="25" spans="2:20" ht="12.75">
      <c r="B25" s="53"/>
      <c r="T25" s="71"/>
    </row>
    <row r="26" spans="2:20" ht="12.75">
      <c r="B26" s="53"/>
      <c r="C26" s="25" t="s">
        <v>54</v>
      </c>
      <c r="D26" s="25" t="s">
        <v>55</v>
      </c>
      <c r="E26" s="25"/>
      <c r="T26" s="71"/>
    </row>
    <row r="27" spans="2:20" ht="12.75">
      <c r="B27" s="53"/>
      <c r="C27" s="74">
        <v>19.5729</v>
      </c>
      <c r="D27" s="75">
        <v>3.22</v>
      </c>
      <c r="T27" s="71"/>
    </row>
    <row r="28" spans="2:20" ht="12.75">
      <c r="B28" s="53"/>
      <c r="C28" s="74">
        <v>14.18</v>
      </c>
      <c r="D28" s="75">
        <v>2.66</v>
      </c>
      <c r="T28" s="71"/>
    </row>
    <row r="29" spans="2:20" ht="12.75">
      <c r="B29" s="53"/>
      <c r="C29" s="74">
        <v>21.2519</v>
      </c>
      <c r="D29" s="75">
        <v>1.22</v>
      </c>
      <c r="T29" s="71"/>
    </row>
    <row r="30" spans="2:20" ht="12.75">
      <c r="B30" s="53"/>
      <c r="D30" s="75">
        <v>1.11</v>
      </c>
      <c r="T30" s="71"/>
    </row>
    <row r="31" spans="2:20" ht="12.75">
      <c r="B31" s="53"/>
      <c r="D31" s="75">
        <v>0.81</v>
      </c>
      <c r="T31" s="71"/>
    </row>
    <row r="32" spans="2:20" ht="12.75">
      <c r="B32" s="53"/>
      <c r="D32" s="75">
        <v>2.61</v>
      </c>
      <c r="T32" s="71"/>
    </row>
    <row r="33" spans="2:20" ht="12.75">
      <c r="B33" s="53"/>
      <c r="D33" s="75">
        <v>1.31</v>
      </c>
      <c r="T33" s="71"/>
    </row>
    <row r="34" spans="2:20" ht="12.75">
      <c r="B34" s="53"/>
      <c r="D34" s="75">
        <v>1.31</v>
      </c>
      <c r="T34" s="71"/>
    </row>
    <row r="35" spans="2:20" ht="12.75">
      <c r="B35" s="53"/>
      <c r="D35" s="75">
        <v>2.23</v>
      </c>
      <c r="T35" s="71"/>
    </row>
    <row r="36" spans="2:20" ht="12.75">
      <c r="B36" s="53"/>
      <c r="D36" s="75">
        <v>2.44</v>
      </c>
      <c r="T36" s="71"/>
    </row>
    <row r="37" spans="2:20" ht="12.75">
      <c r="B37" s="53"/>
      <c r="C37" s="19"/>
      <c r="D37" s="76">
        <v>4.15</v>
      </c>
      <c r="E37" s="19"/>
      <c r="T37" s="71"/>
    </row>
    <row r="38" spans="2:20" ht="12.75">
      <c r="B38" s="53" t="s">
        <v>56</v>
      </c>
      <c r="C38" s="77">
        <f>AVERAGE(C27:C29)</f>
        <v>18.334933333333332</v>
      </c>
      <c r="D38" s="77">
        <f>AVERAGE(D27:D29)</f>
        <v>2.3666666666666667</v>
      </c>
      <c r="T38" s="71"/>
    </row>
    <row r="39" spans="2:20" ht="12.75">
      <c r="B39" s="53" t="s">
        <v>57</v>
      </c>
      <c r="C39" s="78">
        <f>D38/C38</f>
        <v>0.12907964395834545</v>
      </c>
      <c r="T39" s="71"/>
    </row>
    <row r="40" spans="2:20" ht="12.75">
      <c r="B40" s="73"/>
      <c r="C40" s="19"/>
      <c r="D40" s="19"/>
      <c r="E40" s="19"/>
      <c r="F40" s="19"/>
      <c r="G40" s="19"/>
      <c r="H40" s="19"/>
      <c r="I40" s="19"/>
      <c r="J40" s="19"/>
      <c r="K40" s="19"/>
      <c r="L40" s="19"/>
      <c r="M40" s="19"/>
      <c r="N40" s="19"/>
      <c r="O40" s="19"/>
      <c r="P40" s="19"/>
      <c r="Q40" s="19"/>
      <c r="R40" s="19"/>
      <c r="S40" s="19"/>
      <c r="T40" s="79"/>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KTL / YTOS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olex</dc:creator>
  <cp:keywords/>
  <dc:description/>
  <cp:lastModifiedBy>olex</cp:lastModifiedBy>
  <dcterms:created xsi:type="dcterms:W3CDTF">2009-01-27T10:27:23Z</dcterms:created>
  <dcterms:modified xsi:type="dcterms:W3CDTF">2009-01-29T08:55:01Z</dcterms:modified>
  <cp:category/>
  <cp:version/>
  <cp:contentType/>
  <cp:contentStatus/>
</cp:coreProperties>
</file>