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180" yWindow="135" windowWidth="13020" windowHeight="12540" activeTab="5"/>
  </bookViews>
  <sheets>
    <sheet name="Mtoe" sheetId="1" r:id="rId1"/>
    <sheet name="PMemission" sheetId="2" r:id="rId2"/>
    <sheet name="Intake" sheetId="3" r:id="rId3"/>
    <sheet name="TransportStatEUOECD" sheetId="7" r:id="rId4"/>
    <sheet name="CVDLCDALYs" sheetId="11" r:id="rId5"/>
    <sheet name="Countries" sheetId="12" r:id="rId6"/>
    <sheet name="OECD" sheetId="13" r:id="rId7"/>
  </sheets>
  <externalReferences>
    <externalReference r:id="rId10"/>
  </externalReferences>
  <definedNames>
    <definedName name="_xlnm.Print_Area" localSheetId="3">'TransportStatEUOECD'!$A$1:$DD$38</definedName>
  </definedNames>
  <calcPr calcId="145621"/>
</workbook>
</file>

<file path=xl/sharedStrings.xml><?xml version="1.0" encoding="utf-8"?>
<sst xmlns="http://schemas.openxmlformats.org/spreadsheetml/2006/main" count="2478" uniqueCount="450">
  <si>
    <t xml:space="preserve">Supply and </t>
  </si>
  <si>
    <t>consumption</t>
  </si>
  <si>
    <t>Production</t>
  </si>
  <si>
    <t>Intl marine bunkers</t>
  </si>
  <si>
    <t>Intl aviation bunkers</t>
  </si>
  <si>
    <t>Imports</t>
  </si>
  <si>
    <t>Exports</t>
  </si>
  <si>
    <t>Stock changes</t>
  </si>
  <si>
    <t>TPES</t>
  </si>
  <si>
    <t>Transfers</t>
  </si>
  <si>
    <t>Electricity plants</t>
  </si>
  <si>
    <t>CHP Plants</t>
  </si>
  <si>
    <t>Heat plants</t>
  </si>
  <si>
    <t>Statistical differences</t>
  </si>
  <si>
    <t>Gas works</t>
  </si>
  <si>
    <t>Petroleum refineries</t>
  </si>
  <si>
    <t>Coal transformation</t>
  </si>
  <si>
    <t>Liquefication plants</t>
  </si>
  <si>
    <t>Other transformation</t>
  </si>
  <si>
    <t>Own use</t>
  </si>
  <si>
    <t>Distribution losses</t>
  </si>
  <si>
    <t>TFC</t>
  </si>
  <si>
    <t>Industry sector</t>
  </si>
  <si>
    <t>Iron and steel</t>
  </si>
  <si>
    <t>Chemical and petrochem</t>
  </si>
  <si>
    <t>Non-ferrous metals</t>
  </si>
  <si>
    <t>Non-metallic minerals</t>
  </si>
  <si>
    <t>Transport equipment</t>
  </si>
  <si>
    <t>Machinery</t>
  </si>
  <si>
    <t>Mining and quarrying</t>
  </si>
  <si>
    <t>Food and tobacco</t>
  </si>
  <si>
    <t>Paper, pulp &amp; printing</t>
  </si>
  <si>
    <t>Wood and wood products</t>
  </si>
  <si>
    <t>Construction</t>
  </si>
  <si>
    <t>Textile and leather</t>
  </si>
  <si>
    <t>Non-specified</t>
  </si>
  <si>
    <t>Transport sector</t>
  </si>
  <si>
    <t>Domestic aviation</t>
  </si>
  <si>
    <t>Road transport</t>
  </si>
  <si>
    <t>Rail transport</t>
  </si>
  <si>
    <t>Pipeline transport</t>
  </si>
  <si>
    <t>Domestic navigation</t>
  </si>
  <si>
    <t>Other sectors</t>
  </si>
  <si>
    <t>Residential</t>
  </si>
  <si>
    <t>Agriculture &amp; forestry</t>
  </si>
  <si>
    <t>Fishing</t>
  </si>
  <si>
    <t>peat</t>
  </si>
  <si>
    <t>Coal &amp;</t>
  </si>
  <si>
    <t>Crude</t>
  </si>
  <si>
    <t>Gas</t>
  </si>
  <si>
    <t>Nuclear</t>
  </si>
  <si>
    <t>Hydro</t>
  </si>
  <si>
    <t>Geothermal</t>
  </si>
  <si>
    <t>Combust</t>
  </si>
  <si>
    <t>Electricity</t>
  </si>
  <si>
    <t>Heat</t>
  </si>
  <si>
    <t>Total</t>
  </si>
  <si>
    <t>Petrochem</t>
  </si>
  <si>
    <t>oil</t>
  </si>
  <si>
    <t>products</t>
  </si>
  <si>
    <t>renew,waste</t>
  </si>
  <si>
    <t>solar,wind</t>
  </si>
  <si>
    <t>Total Primary Energy Supply</t>
  </si>
  <si>
    <t>Total Final Consumption</t>
  </si>
  <si>
    <t>Million tons of oil equivalent (Mtoe) per year</t>
  </si>
  <si>
    <t>Total available for final consumption</t>
  </si>
  <si>
    <t>CHP plants, electricity</t>
  </si>
  <si>
    <t>CHP plants, heat</t>
  </si>
  <si>
    <t>Fossil</t>
  </si>
  <si>
    <t>Difference True-Target</t>
  </si>
  <si>
    <r>
      <t>CO</t>
    </r>
    <r>
      <rPr>
        <b/>
        <vertAlign val="subscript"/>
        <sz val="11"/>
        <rFont val="Arial"/>
        <family val="2"/>
      </rPr>
      <t>2</t>
    </r>
    <r>
      <rPr>
        <b/>
        <sz val="11"/>
        <rFont val="Arial"/>
        <family val="2"/>
      </rPr>
      <t xml:space="preserve"> in year 2020</t>
    </r>
  </si>
  <si>
    <r>
      <t>Million tons of carbon dioxide (MtCO</t>
    </r>
    <r>
      <rPr>
        <b/>
        <vertAlign val="subscript"/>
        <sz val="12"/>
        <rFont val="Arial"/>
        <family val="2"/>
      </rPr>
      <t>2</t>
    </r>
    <r>
      <rPr>
        <b/>
        <sz val="12"/>
        <rFont val="Arial"/>
        <family val="2"/>
      </rPr>
      <t>) per year</t>
    </r>
  </si>
  <si>
    <t>Available at http://www.iea.org/Textbase/publications/free_new_Desc.asp?PUBS_ID=2033</t>
  </si>
  <si>
    <t>*)</t>
  </si>
  <si>
    <t>*) modified from original IEA 2000 Energy Balance data sheet. Other data are not affected</t>
  </si>
  <si>
    <t>Total Primary energy use for energy conversion</t>
  </si>
  <si>
    <t xml:space="preserve">Primary Energy </t>
  </si>
  <si>
    <t>Supply and Consumptiononsumption</t>
  </si>
  <si>
    <t>The gray area of columns A…L is copied directly from IEA 2009 (see reference below table), and can be replaced with 2007 baseline data from any other country from the same document. In the particular case of Finland, apparet errors in the dividion of fuel use for CHP and Heat Plants - resulting in too low efficiency for CHP and 110% (!) thermal efficiency for Heat Plants was corrected in a way that did not change the overall balances. The unit is the same for all energies, tons of oil equivalent, used by IEA and others, and allowing direct replacement of, e.g. 1 toe of gas by 1 toe of oil, etc.</t>
  </si>
  <si>
    <t>Comb.renew.</t>
  </si>
  <si>
    <t>biomass waste</t>
  </si>
  <si>
    <t>Total available for Final Energy Consumption</t>
  </si>
  <si>
    <t>Total Final Enrgy Consumption</t>
  </si>
  <si>
    <r>
      <t>MtCO</t>
    </r>
    <r>
      <rPr>
        <vertAlign val="subscript"/>
        <sz val="10"/>
        <rFont val="Arial"/>
        <family val="2"/>
      </rPr>
      <t>2</t>
    </r>
    <r>
      <rPr>
        <sz val="10"/>
        <rFont val="Arial"/>
        <family val="2"/>
      </rPr>
      <t>/Mtoe</t>
    </r>
  </si>
  <si>
    <t xml:space="preserve">No values should be entered in this section, because columns AA...AK are computed from the data in columns B..Y. Once the (preliminary) changes in energy use, conversion and supply have been made in the blue cells, their impacts need to be balanced, i.e. the values in AA32…AK32 must - approxiomately - equal those in AA33…AK33, and AA18..AK18 must equal AA19...AK19, i.e. supplies and demans must be balanced. This is done by adjusting the values in the blue cells, first to match supply and demand for final consumption (rows 32 and 33) and then supply and demand for energy conversion (rows 18 and 19). Trial and error is the method of choice here. </t>
  </si>
  <si>
    <r>
      <t>The values below are CO</t>
    </r>
    <r>
      <rPr>
        <vertAlign val="subscript"/>
        <sz val="10"/>
        <rFont val="Arial"/>
        <family val="2"/>
      </rPr>
      <t>2</t>
    </r>
    <r>
      <rPr>
        <sz val="10"/>
        <rFont val="Arial"/>
        <family val="2"/>
      </rPr>
      <t xml:space="preserve"> emissions from the combustion of each fuel of interest</t>
    </r>
  </si>
  <si>
    <t xml:space="preserve"> The blue areas contain the transfer factors from source data, B…L, 2007, to target data, AA…AK, 2030 (or any other selected year). Value of 1.0 means, no change, 1.25 means 25% increase, 0.7 means 30% decrease, etc. Initially all values are 1.00 and, consequently, the target balance sheet, AA...AK is identical to source balance sheet, and in balance, which means that row 21 is identical to row 22, and row 35 identical to row 36. All changes from the source (2007) to the target year (2030) are enterd by changing the transfer factors in the blue areas from 1.00 to other values for the use of fuels and energy in the Final Consumption (bottom), Primay Energy Use for Energy Conversion (lower center) or Supply for Consumption (upper center) sections. No values should be entered in the orange cells. The values in the green cells should not be changed without understanding.</t>
  </si>
  <si>
    <r>
      <t>The</t>
    </r>
    <r>
      <rPr>
        <b/>
        <sz val="10"/>
        <rFont val="Arial"/>
        <family val="2"/>
      </rPr>
      <t xml:space="preserve"> thermal conversion efficiencies</t>
    </r>
    <r>
      <rPr>
        <sz val="10"/>
        <rFont val="Arial"/>
        <family val="2"/>
      </rPr>
      <t xml:space="preserve"> (B4…K7) apply for Finland in 2007, and can be used as starting points for other countries. Some adjustmenst, however, are necessary to balance sheet AA…AK for any new country. The thermal conversion efficiencies for new installations (O4 ... X7) are more generic, and should only be changed with sufficient knowledge. </t>
    </r>
  </si>
  <si>
    <r>
      <t xml:space="preserve">A </t>
    </r>
    <r>
      <rPr>
        <b/>
        <sz val="10"/>
        <rFont val="Arial"/>
        <family val="2"/>
      </rPr>
      <t>word of warning:</t>
    </r>
    <r>
      <rPr>
        <sz val="10"/>
        <rFont val="Arial"/>
        <family val="2"/>
      </rPr>
      <t xml:space="preserve"> The balance sheet works at an annual level. You can balance the annual sheet in ways which are impossible e.g. at daily or hourly levels. E.g. solar and wind power must be backed up by adequate alternative power supplies for low wind periods. The needs and means for the alternative supply vary significantly between the countries. </t>
    </r>
  </si>
  <si>
    <t>Consider the possibilities of attaching emission factors and intake fractions for each fuel use (incl. Industrial) and energy conversion process</t>
  </si>
  <si>
    <t>Create an OECD/Europe version of the baseline sheet.</t>
  </si>
  <si>
    <r>
      <t>Start CO</t>
    </r>
    <r>
      <rPr>
        <b/>
        <vertAlign val="subscript"/>
        <sz val="12"/>
        <color indexed="9"/>
        <rFont val="Arial"/>
        <family val="2"/>
      </rPr>
      <t>2</t>
    </r>
    <r>
      <rPr>
        <b/>
        <sz val="12"/>
        <color indexed="9"/>
        <rFont val="Arial"/>
        <family val="2"/>
      </rPr>
      <t>, year 2007</t>
    </r>
  </si>
  <si>
    <r>
      <t>CO</t>
    </r>
    <r>
      <rPr>
        <b/>
        <vertAlign val="subscript"/>
        <sz val="11"/>
        <rFont val="Arial"/>
        <family val="2"/>
      </rPr>
      <t>2</t>
    </r>
    <r>
      <rPr>
        <b/>
        <sz val="11"/>
        <rFont val="Arial"/>
        <family val="2"/>
      </rPr>
      <t xml:space="preserve"> in year 2007</t>
    </r>
  </si>
  <si>
    <t>…generation of heat and power</t>
  </si>
  <si>
    <t>%</t>
  </si>
  <si>
    <t>allocated to end users</t>
  </si>
  <si>
    <t>Of total CO2 emission</t>
  </si>
  <si>
    <r>
      <t>Target CO</t>
    </r>
    <r>
      <rPr>
        <b/>
        <vertAlign val="subscript"/>
        <sz val="11"/>
        <color indexed="9"/>
        <rFont val="Arial"/>
        <family val="2"/>
      </rPr>
      <t>2</t>
    </r>
    <r>
      <rPr>
        <b/>
        <sz val="11"/>
        <color indexed="9"/>
        <rFont val="Arial"/>
        <family val="2"/>
      </rPr>
      <t xml:space="preserve"> year 2030</t>
    </r>
  </si>
  <si>
    <r>
      <t>Domestic</t>
    </r>
    <r>
      <rPr>
        <sz val="10"/>
        <rFont val="Arial"/>
        <family val="2"/>
      </rPr>
      <t xml:space="preserve"> aviation</t>
    </r>
  </si>
  <si>
    <r>
      <t xml:space="preserve">Domestic </t>
    </r>
    <r>
      <rPr>
        <sz val="10"/>
        <rFont val="Arial"/>
        <family val="2"/>
      </rPr>
      <t>navigation</t>
    </r>
  </si>
  <si>
    <t>**) domestic supply of fuels for international aviation and navigation are moved to rows 50 and 54 respectively</t>
  </si>
  <si>
    <t>Renewable energy</t>
  </si>
  <si>
    <t>% of total</t>
  </si>
  <si>
    <t>Non-carbon energy</t>
  </si>
  <si>
    <t>Of fossil CO2 emission</t>
  </si>
  <si>
    <t xml:space="preserve">Intl aviation bunkers </t>
  </si>
  <si>
    <t>from own use and distribution losses</t>
  </si>
  <si>
    <t>of heat and power generation</t>
  </si>
  <si>
    <t>International Energy Agency, Energy Balances of OECD Countries, OECD/IEA, 2009, Paris, 354 pp.</t>
  </si>
  <si>
    <r>
      <t>Once a (approximate) balance has been reached, you can see how the changes (savings) that you have introduced in the final consumption, changes between the alternative energy sources (e.g. gas, electricity and biomass for residential heating), and changes between the alternative energy supplies (e.g. coal, oil and biomass for CHP generation) affect the total energy supply and CO</t>
    </r>
    <r>
      <rPr>
        <vertAlign val="subscript"/>
        <sz val="10"/>
        <rFont val="Arial Narrow"/>
        <family val="2"/>
      </rPr>
      <t>2</t>
    </r>
    <r>
      <rPr>
        <sz val="10"/>
        <rFont val="Arial Narrow"/>
        <family val="2"/>
      </rPr>
      <t xml:space="preserve"> emissions from the use of each fuel (AN18...AU18), total CO</t>
    </r>
    <r>
      <rPr>
        <vertAlign val="subscript"/>
        <sz val="10"/>
        <rFont val="Arial Narrow"/>
        <family val="2"/>
      </rPr>
      <t>2</t>
    </r>
    <r>
      <rPr>
        <sz val="10"/>
        <rFont val="Arial Narrow"/>
        <family val="2"/>
      </rPr>
      <t xml:space="preserve"> (AX18) and CO</t>
    </r>
    <r>
      <rPr>
        <vertAlign val="subscript"/>
        <sz val="10"/>
        <rFont val="Arial Narrow"/>
        <family val="2"/>
      </rPr>
      <t>2</t>
    </r>
    <r>
      <rPr>
        <sz val="10"/>
        <rFont val="Arial Narrow"/>
        <family val="2"/>
      </rPr>
      <t xml:space="preserve"> from fossil fuel (AY18) use. This can then be compared to the target value for fossil CO</t>
    </r>
    <r>
      <rPr>
        <vertAlign val="subscript"/>
        <sz val="10"/>
        <rFont val="Arial Narrow"/>
        <family val="2"/>
      </rPr>
      <t>2</t>
    </r>
    <r>
      <rPr>
        <sz val="10"/>
        <rFont val="Arial Narrow"/>
        <family val="2"/>
      </rPr>
      <t xml:space="preserve"> (AY17), and the difference between the true and the target value. If the target is nor reached by the policy, you need to modify/strengthen your energy use, conversion and supply policies, and rebalance table AA...AK.</t>
    </r>
  </si>
  <si>
    <t>Fuel ash contents (%)</t>
  </si>
  <si>
    <t>Fuel sulfur contents (%)</t>
  </si>
  <si>
    <t>TPEU/Energy Conversion</t>
  </si>
  <si>
    <t>Process sulfur removal efficiency (%)</t>
  </si>
  <si>
    <t>Fly ash removal efficiency (%)</t>
  </si>
  <si>
    <t>Fuel heat value (MJ/kg)</t>
  </si>
  <si>
    <t>iF for primary PM (ppm)</t>
  </si>
  <si>
    <t>iF for Secondary PM (ppm)</t>
  </si>
  <si>
    <t>L</t>
  </si>
  <si>
    <t>coal</t>
  </si>
  <si>
    <t>gas</t>
  </si>
  <si>
    <t/>
  </si>
  <si>
    <t xml:space="preserve"> </t>
  </si>
  <si>
    <t>ppm</t>
  </si>
  <si>
    <t>EC+OC emission factor (t/Mtoe)</t>
  </si>
  <si>
    <t>iF for Primary PM (ppm)</t>
  </si>
  <si>
    <t>(EC+OC)PM emission, kt/a</t>
  </si>
  <si>
    <t xml:space="preserve"> - Person transport</t>
  </si>
  <si>
    <t xml:space="preserve">  -- Public transport (busses) </t>
  </si>
  <si>
    <t xml:space="preserve">  -- Automobiles (private and taxi)</t>
  </si>
  <si>
    <t xml:space="preserve">  -- Bicycles</t>
  </si>
  <si>
    <t xml:space="preserve">  -- Pedestrian</t>
  </si>
  <si>
    <t xml:space="preserve"> - Freight transport</t>
  </si>
  <si>
    <t>Commercial &amp; public services</t>
  </si>
  <si>
    <t xml:space="preserve">  -- Bicycle</t>
  </si>
  <si>
    <t>Street lighting</t>
  </si>
  <si>
    <t>Public utilities (power, heat, water&amp;waste)</t>
  </si>
  <si>
    <t>Commercial&amp;Business</t>
  </si>
  <si>
    <t>Commercial (&amp; public services)</t>
  </si>
  <si>
    <r>
      <t>Secondary sulfate PM emission, kt((NH</t>
    </r>
    <r>
      <rPr>
        <b/>
        <vertAlign val="subscript"/>
        <sz val="12"/>
        <rFont val="Arial"/>
        <family val="2"/>
      </rPr>
      <t>3</t>
    </r>
    <r>
      <rPr>
        <b/>
        <sz val="12"/>
        <rFont val="Arial"/>
        <family val="2"/>
      </rPr>
      <t>)</t>
    </r>
    <r>
      <rPr>
        <b/>
        <vertAlign val="subscript"/>
        <sz val="12"/>
        <rFont val="Arial"/>
        <family val="2"/>
      </rPr>
      <t>2</t>
    </r>
    <r>
      <rPr>
        <b/>
        <sz val="12"/>
        <rFont val="Arial"/>
        <family val="2"/>
      </rPr>
      <t>SO</t>
    </r>
    <r>
      <rPr>
        <b/>
        <vertAlign val="subscript"/>
        <sz val="12"/>
        <rFont val="Arial"/>
        <family val="2"/>
      </rPr>
      <t>4</t>
    </r>
    <r>
      <rPr>
        <b/>
        <sz val="12"/>
        <rFont val="Arial"/>
        <family val="2"/>
      </rPr>
      <t>)/a</t>
    </r>
  </si>
  <si>
    <t>Of total PM emission</t>
  </si>
  <si>
    <t>Total PM emissions from centralised electricity and district heat generation</t>
  </si>
  <si>
    <t>Main Transport Indicators 2011</t>
  </si>
  <si>
    <t>EU-27</t>
  </si>
  <si>
    <t>OECD, 22</t>
  </si>
  <si>
    <t>INLAND WATERWAYS</t>
  </si>
  <si>
    <t>ROAD ACCIDENTS</t>
  </si>
  <si>
    <t>Population</t>
  </si>
  <si>
    <t>performance</t>
  </si>
  <si>
    <t>air emissions</t>
  </si>
  <si>
    <t>goods vehicles</t>
  </si>
  <si>
    <t>person kms</t>
  </si>
  <si>
    <t>ton kms</t>
  </si>
  <si>
    <t>tCO2/a</t>
  </si>
  <si>
    <t>injury accidents</t>
  </si>
  <si>
    <t>fatalities</t>
  </si>
  <si>
    <t>injuries</t>
  </si>
  <si>
    <t>number</t>
  </si>
  <si>
    <t>EU</t>
  </si>
  <si>
    <t>OECD</t>
  </si>
  <si>
    <t>million</t>
  </si>
  <si>
    <t>thousand</t>
  </si>
  <si>
    <t>per million</t>
  </si>
  <si>
    <t>millions</t>
  </si>
  <si>
    <t>Austria (* stock and 1st registrations</t>
  </si>
  <si>
    <t>Belgium</t>
  </si>
  <si>
    <t>Bulgaria</t>
  </si>
  <si>
    <t>0</t>
  </si>
  <si>
    <t>Cyprus</t>
  </si>
  <si>
    <t>Czech Republic</t>
  </si>
  <si>
    <t>Estonia</t>
  </si>
  <si>
    <t>Finland</t>
  </si>
  <si>
    <t>France</t>
  </si>
  <si>
    <t>Germany</t>
  </si>
  <si>
    <t>Greece</t>
  </si>
  <si>
    <t>Hungary</t>
  </si>
  <si>
    <t xml:space="preserve">Ireland(* road accidents </t>
  </si>
  <si>
    <t>Italy</t>
  </si>
  <si>
    <t>Latvia</t>
  </si>
  <si>
    <t>Lithuania</t>
  </si>
  <si>
    <t>Luxembourg</t>
  </si>
  <si>
    <t>Malta</t>
  </si>
  <si>
    <t>Netherlands</t>
  </si>
  <si>
    <t>Norway</t>
  </si>
  <si>
    <t>Poland</t>
  </si>
  <si>
    <t>Romania</t>
  </si>
  <si>
    <t>Slovakia</t>
  </si>
  <si>
    <t>Slovenia</t>
  </si>
  <si>
    <t>Spain</t>
  </si>
  <si>
    <t>Sweden</t>
  </si>
  <si>
    <t>Switzerland</t>
  </si>
  <si>
    <t>Turkey</t>
  </si>
  <si>
    <t>United Kingdom (g</t>
  </si>
  <si>
    <t>*) 2010 data</t>
  </si>
  <si>
    <t>a) passenger cars and light motor vehicles</t>
  </si>
  <si>
    <t>c) busses only</t>
  </si>
  <si>
    <t>d) passengers turnover made by busses</t>
  </si>
  <si>
    <t>e) heavy road vehicles in mainkland</t>
  </si>
  <si>
    <t>f) mainland only</t>
  </si>
  <si>
    <t>g) Great Britain only</t>
  </si>
  <si>
    <t>Considerable uncertainty because of missing data</t>
  </si>
  <si>
    <t>High uncertainty because of both missing and non-compatible data</t>
  </si>
  <si>
    <t>Portugal (e) road/performance/ton-kms, f) road accidents</t>
  </si>
  <si>
    <t>These data for 2008</t>
  </si>
  <si>
    <t>b) 2008 data</t>
  </si>
  <si>
    <t>Denmark (b) passenger cars and goods vehicles</t>
  </si>
  <si>
    <t>busses</t>
  </si>
  <si>
    <t xml:space="preserve">              The UNECE transport statistics for Europe and North America, 2008 (2011)  </t>
  </si>
  <si>
    <t>Sources: Main transport indicators in the UNECE region, 2011 (2013)</t>
  </si>
  <si>
    <t>frct diesel</t>
  </si>
  <si>
    <t>frct electric</t>
  </si>
  <si>
    <t>fract gas&amp;petrol</t>
  </si>
  <si>
    <t>frct gas&amp;petrol</t>
  </si>
  <si>
    <t>TOTAL performance</t>
  </si>
  <si>
    <t>2012 first registrations</t>
  </si>
  <si>
    <t>vehicle kms</t>
  </si>
  <si>
    <t>tons carried tot.</t>
  </si>
  <si>
    <t>data marked bright red is extrapolated from earlier years, mainly 2005 but in some cases 2000</t>
  </si>
  <si>
    <t>Swiss data does not include cross trade transp.</t>
  </si>
  <si>
    <t>number EU</t>
  </si>
  <si>
    <t>number OECD</t>
  </si>
  <si>
    <t>Goods vehicles</t>
  </si>
  <si>
    <t>R       O       A       D</t>
  </si>
  <si>
    <t>EU tot</t>
  </si>
  <si>
    <t>OECD tot</t>
  </si>
  <si>
    <t>Missing country data</t>
  </si>
  <si>
    <t xml:space="preserve">replaced by population </t>
  </si>
  <si>
    <t>weighed averages</t>
  </si>
  <si>
    <t>of existing country data</t>
  </si>
  <si>
    <t>Blast furnaces</t>
  </si>
  <si>
    <t>Oil</t>
  </si>
  <si>
    <t>Coke/pat. fuel/BKB plants</t>
  </si>
  <si>
    <t>Oil refineries</t>
  </si>
  <si>
    <t>Petrochemical plants</t>
  </si>
  <si>
    <t>Energy industry own use</t>
  </si>
  <si>
    <t>[Distribution] losses</t>
  </si>
  <si>
    <t>Non energy use (industry&amp;transport)</t>
  </si>
  <si>
    <t>Geothrml</t>
  </si>
  <si>
    <t>Biofuels</t>
  </si>
  <si>
    <t>&amp; waste</t>
  </si>
  <si>
    <t>&amp;waste</t>
  </si>
  <si>
    <t>sun wind</t>
  </si>
  <si>
    <t>Diesel</t>
  </si>
  <si>
    <t>Petrol</t>
  </si>
  <si>
    <t>Electric</t>
  </si>
  <si>
    <t>Coal</t>
  </si>
  <si>
    <t>U  N  E  C  E   2 0 1 1,    2 0 0 8  d a t a</t>
  </si>
  <si>
    <t>gross ton kms of passenger trains</t>
  </si>
  <si>
    <t>gross ton kms of freight trains</t>
  </si>
  <si>
    <t>net ton kms of freight trains</t>
  </si>
  <si>
    <t>RAIL PERFORMANCE</t>
  </si>
  <si>
    <t>Average person per vehicle</t>
  </si>
  <si>
    <t>Average freight, ton per vehicle</t>
  </si>
  <si>
    <t>Passenger cars</t>
  </si>
  <si>
    <t>Passenger cars (&amp; motor cycles)</t>
  </si>
  <si>
    <t>Does not include 19 MtCO2/a of indirect emissions from electric power generation</t>
  </si>
  <si>
    <t>total</t>
  </si>
  <si>
    <t>electric</t>
  </si>
  <si>
    <t>diesel</t>
  </si>
  <si>
    <t xml:space="preserve">  -- Automobile</t>
  </si>
  <si>
    <t>petrol</t>
  </si>
  <si>
    <t>biofuel</t>
  </si>
  <si>
    <t>Proportion</t>
  </si>
  <si>
    <t>Traffic biofuel requirement, %</t>
  </si>
  <si>
    <t>ethanol</t>
  </si>
  <si>
    <t>density</t>
  </si>
  <si>
    <t>heat value, MJ/Kg</t>
  </si>
  <si>
    <t>gCO2/Mj</t>
  </si>
  <si>
    <t>MtCO2/Mtoe</t>
  </si>
  <si>
    <t>Heat to mechanical, thermal efficiency</t>
  </si>
  <si>
    <t>Gross ton per freight ton</t>
  </si>
  <si>
    <t>Gross ton per passenger</t>
  </si>
  <si>
    <t>gCO2/gross ton km</t>
  </si>
  <si>
    <t>ton</t>
  </si>
  <si>
    <t>average gross mass ton/vehicle</t>
  </si>
  <si>
    <t>statistical average gCO2/ton*km</t>
  </si>
  <si>
    <t>DEFAULT</t>
  </si>
  <si>
    <t>million person km, million tonne km</t>
  </si>
  <si>
    <t>person</t>
  </si>
  <si>
    <t>tonne</t>
  </si>
  <si>
    <t>gross tonne/vehicle</t>
  </si>
  <si>
    <t>specific fuel/electricity consumption in goe per person km or tonne km</t>
  </si>
  <si>
    <t>liq biofuel</t>
  </si>
  <si>
    <t>Road from OECD balance sheet</t>
  </si>
  <si>
    <t>Road computed from transport data</t>
  </si>
  <si>
    <t xml:space="preserve">  -- Automobile </t>
  </si>
  <si>
    <t>gross tonne/person /net tonne</t>
  </si>
  <si>
    <t>person or tonne/vehicle</t>
  </si>
  <si>
    <t>crude</t>
  </si>
  <si>
    <t>diesel/petrol</t>
  </si>
  <si>
    <t>solid biofuel</t>
  </si>
  <si>
    <t>Energy industry wn use</t>
  </si>
  <si>
    <t>Thousand tons of primary and secondary PM per year</t>
  </si>
  <si>
    <t>Thermal conversion efficiency, stock of 2009</t>
  </si>
  <si>
    <t>Thermal conversion efficiency for new installations after 2009</t>
  </si>
  <si>
    <t>average exposure level in Europe to PM2.5</t>
  </si>
  <si>
    <t>ug/m3 annual agverage</t>
  </si>
  <si>
    <t>average inhalation rate</t>
  </si>
  <si>
    <t>#/min</t>
  </si>
  <si>
    <t>m3/a</t>
  </si>
  <si>
    <t>average inhaled PM2.5 per year</t>
  </si>
  <si>
    <t>g/a</t>
  </si>
  <si>
    <t>population of Europe</t>
  </si>
  <si>
    <t>total PM inhaled by European population</t>
  </si>
  <si>
    <t>DALY/a</t>
  </si>
  <si>
    <t>Population CVD BoD increase</t>
  </si>
  <si>
    <t>DALY/1g PM2.5 intake</t>
  </si>
  <si>
    <t>Pope et al. (2002) JAMA 287(9)1132-41</t>
  </si>
  <si>
    <t>LC mortality increase</t>
  </si>
  <si>
    <t>RR per 10 ug/m3 PM2.5 increase</t>
  </si>
  <si>
    <t>CVD mortality increase</t>
  </si>
  <si>
    <t>EU-26 weighed average from Global BoD estimates</t>
  </si>
  <si>
    <t>Data from: http://www.who.int/healthinfo/global_burden_disease/estimates_country/en/index.html</t>
  </si>
  <si>
    <t>lung (trachea &amp; bronchus) cancer - WO67</t>
  </si>
  <si>
    <t>DALY/100000/a</t>
  </si>
  <si>
    <t>cardiovascular disease - W134</t>
  </si>
  <si>
    <t>Population LC+CVD BoD increase</t>
  </si>
  <si>
    <t>CVD BoD increase from EU-26 population exposure to [BH90]</t>
  </si>
  <si>
    <t>All-cause mortality increase</t>
  </si>
  <si>
    <t>Population pre-policy fuel ash PM intake, kg/a</t>
  </si>
  <si>
    <t>Population pre-policy secondary PM intake, kg/a</t>
  </si>
  <si>
    <t>Population pre-policy (EC+OC)PM intake, kg/a</t>
  </si>
  <si>
    <t>Population post-policy total PM intake, kg/a</t>
  </si>
  <si>
    <t>inhaled air / person*year</t>
  </si>
  <si>
    <t>average tidal volume</t>
  </si>
  <si>
    <t>Fuel ash fine PM emission, kt/a</t>
  </si>
  <si>
    <t>Austria</t>
  </si>
  <si>
    <t>Ireland</t>
  </si>
  <si>
    <t>Portugal</t>
  </si>
  <si>
    <t>United Kingdom</t>
  </si>
  <si>
    <t>Per million in Total data</t>
  </si>
  <si>
    <t>air emission</t>
  </si>
  <si>
    <t>Total average</t>
  </si>
  <si>
    <t>EU average</t>
  </si>
  <si>
    <t>OECD Europe average</t>
  </si>
  <si>
    <t>Diesel rail service CO2 emission per gross ton km</t>
  </si>
  <si>
    <t>control, agree</t>
  </si>
  <si>
    <t>mechanical energy use goe/gross tonne km</t>
  </si>
  <si>
    <t>not per million (*</t>
  </si>
  <si>
    <t>calculated average gCO2/ton*km</t>
  </si>
  <si>
    <t>RAIL</t>
  </si>
  <si>
    <t>ROAD</t>
  </si>
  <si>
    <r>
      <t>OECD Europe</t>
    </r>
    <r>
      <rPr>
        <sz val="10"/>
        <rFont val="Arial Narrow"/>
        <family val="2"/>
      </rPr>
      <t xml:space="preserve"> consists of </t>
    </r>
    <r>
      <rPr>
        <b/>
        <sz val="10"/>
        <rFont val="Arial Narrow"/>
        <family val="2"/>
      </rPr>
      <t>EU-27</t>
    </r>
    <r>
      <rPr>
        <sz val="10"/>
        <rFont val="Arial Narrow"/>
        <family val="2"/>
      </rPr>
      <t xml:space="preserve">, </t>
    </r>
    <r>
      <rPr>
        <b/>
        <sz val="10"/>
        <rFont val="Arial Narrow"/>
        <family val="2"/>
      </rPr>
      <t>MINUS</t>
    </r>
    <r>
      <rPr>
        <sz val="10"/>
        <rFont val="Arial Narrow"/>
        <family val="2"/>
      </rPr>
      <t xml:space="preserve"> Bulgaria, Cyprus, Estonia, Latvia, Lithuania, Malta, Romania and Slovenia, </t>
    </r>
    <r>
      <rPr>
        <b/>
        <sz val="10"/>
        <rFont val="Arial Narrow"/>
        <family val="2"/>
      </rPr>
      <t>PLUS</t>
    </r>
    <r>
      <rPr>
        <sz val="10"/>
        <rFont val="Arial Narrow"/>
        <family val="2"/>
      </rPr>
      <t xml:space="preserve"> Iceland, Norway, Switzerland and Turkey</t>
    </r>
  </si>
  <si>
    <t xml:space="preserve">OECD Europe </t>
  </si>
  <si>
    <t>Energy balance sheet, 2009 (IEA,2011)</t>
  </si>
  <si>
    <t>(proportion of non-combustion electricity)</t>
  </si>
  <si>
    <t>Population post-policy BoD in DALY/a</t>
  </si>
  <si>
    <t>Absolute change from start year 2007 to year 2030</t>
  </si>
  <si>
    <t>Post policy energy balance</t>
  </si>
  <si>
    <t>Intake Fraction for Particulate Matter: Recommendations for Life Cycle</t>
  </si>
  <si>
    <t>Sebastien Humbert,†,‡ Julian D. Marshall,*,§ Shanna Shaked,|| Joseph V. Spadaro,^,3 Yurika Nishioka,1</t>
  </si>
  <si>
    <t>Philipp Preiss,4 Thomas E. McKone,†,2 Arpad Horvath,† and Olivier Jolliet‡,||</t>
  </si>
  <si>
    <t>ES&amp;T, 45, 4808-4816.</t>
  </si>
  <si>
    <t>Impact Assessment (2011)</t>
  </si>
  <si>
    <t>Road traffic total from OECD Balances</t>
  </si>
  <si>
    <t>Road traffic total computed</t>
  </si>
  <si>
    <t xml:space="preserve">Denmark </t>
  </si>
  <si>
    <t>All of these</t>
  </si>
  <si>
    <t>All EU countries</t>
  </si>
  <si>
    <t>All OECD countries</t>
  </si>
  <si>
    <t>Select country by entering number from list below here</t>
  </si>
  <si>
    <t>These numbers should be similar after adjustment factor</t>
  </si>
  <si>
    <t>LC BoD increase from EU-26 population exposure to [BD71]</t>
  </si>
  <si>
    <t>CVD BoD increase from EU-26 population exposure to [BD71]</t>
  </si>
  <si>
    <t>Fraction of PM2.5</t>
  </si>
  <si>
    <t>feet</t>
  </si>
  <si>
    <t>person or tonne/ vehicle</t>
  </si>
  <si>
    <t>gross tonne/ vehicle</t>
  </si>
  <si>
    <t>Million person km, million tonne km</t>
  </si>
  <si>
    <t>Proportion of motor transport</t>
  </si>
  <si>
    <t>Fleet average thermal efficiency</t>
  </si>
  <si>
    <t>Values must be given as absolute +/- changes from baseline data in the units of the baseline data                                                            and entered only into the blue cells above and below</t>
  </si>
  <si>
    <t>all cause mortality</t>
  </si>
  <si>
    <t>RR</t>
  </si>
  <si>
    <t>km/d</t>
  </si>
  <si>
    <t xml:space="preserve"> per 1 km/d</t>
  </si>
  <si>
    <t>Avg</t>
  </si>
  <si>
    <t>Respective BoD gained</t>
  </si>
  <si>
    <t>Refs from: Oja et al. (2011)Health benefits of cycling: a systematic review.  Scand J Med Sci Sports</t>
  </si>
  <si>
    <t>Hartog et al. (2010) Do the Health Benefits of Cycling Outweigh the Risks? EHP 2010</t>
  </si>
  <si>
    <t>1 MET-h per day  = 15 min 4 MET cycling per day or 105 min per week</t>
  </si>
  <si>
    <t>million person km/a, million tonne km/a</t>
  </si>
  <si>
    <t>International Energy Agency, Energy Balances of OECD Countries, OECD/IEA, 2011, Paris, 330 pp.</t>
  </si>
  <si>
    <t>days of life gained per cycling year</t>
  </si>
  <si>
    <t xml:space="preserve">0 METh/day </t>
  </si>
  <si>
    <t>0.1 - 3.4 METh/day</t>
  </si>
  <si>
    <t>&gt;3.4 METh/day</t>
  </si>
  <si>
    <t>Andersen et al, 2000 [rated weak study]: 30 000 Danish women and men, of which 7 000 cycled to work. Follow up 14.5 years. RR for all cause mortality of cyclists vs. non cyclists was 0.72, adjusted e.g. for leisure time activity</t>
  </si>
  <si>
    <t xml:space="preserve">Matthews et al. 2007 [Rated strong study]: 70 000 Chinese women (40 - 70 y.), walking, cycling, exercise, 5.7 year follow up. (i) 0 METh/day, (ii) 0.1-3.4 METh/day (i.e, up to 1 h moderate cycling per day) and (iii) &gt;3.4 METh/day.  </t>
  </si>
  <si>
    <t xml:space="preserve">Compared to (i) the RR for all cause mortality was 0,79 in (ii) and 0,66 in (iii) </t>
  </si>
  <si>
    <t xml:space="preserve">Hoevenaar-Blom et al. 2010 [Rated strong study]: 16 000 Dutch men and women (20-64 y) prospective 10 year follow up study. Adjusted hazard ratio for CVD incidence for cyclists v.s. non-cyclists was 0.82.  </t>
  </si>
  <si>
    <t xml:space="preserve">Overall sports participation for up to 3.5 h/wk reduced CHD incidence by 23 % and over 3.5 h/wk by additional 34 %. Together cycling and sport resulted in further 36 % reduction.  </t>
  </si>
  <si>
    <t>Adjusted hazard ratio  v.s. no cycling or sports decreased to 0.82 for cyclists, 0.72 for sportists, and 0.63 for those doing both.</t>
  </si>
  <si>
    <t>Of total DALY from air pollution</t>
  </si>
  <si>
    <t>DALY gained from physical exercise</t>
  </si>
  <si>
    <t xml:space="preserve">Austria </t>
  </si>
  <si>
    <t xml:space="preserve">Portugal </t>
  </si>
  <si>
    <t>Trachea, bronchus &amp; lung cancers</t>
  </si>
  <si>
    <t>Cardio-vascular diseases</t>
  </si>
  <si>
    <t>EU27 Total</t>
  </si>
  <si>
    <t>All of the above</t>
  </si>
  <si>
    <t>OECD Europe total</t>
  </si>
  <si>
    <t>DALY/a thousands WHO 2002</t>
  </si>
  <si>
    <t>Population, millions</t>
  </si>
  <si>
    <t>DALY/a thousands</t>
  </si>
  <si>
    <t>DALY/a /100 000</t>
  </si>
  <si>
    <t>Hartog et al. 2010 [Review]: 18-64 y. population based assessment, shift from car to bicycle:</t>
  </si>
  <si>
    <t xml:space="preserve">Avg. individual gain from increased physical activity 90-420 days, increased air pollution exposure loss 1-40 days, traffic accidents loss 5-9 days of healthy life. Net gain is 84-371 days. </t>
  </si>
  <si>
    <t xml:space="preserve">Average time to gain the benefit, 40 years or 14610 days, 7.5-15 km/day, 109575-219150 km total. </t>
  </si>
  <si>
    <t>min</t>
  </si>
  <si>
    <t>max</t>
  </si>
  <si>
    <t xml:space="preserve">Net gain </t>
  </si>
  <si>
    <t>days</t>
  </si>
  <si>
    <t>kms</t>
  </si>
  <si>
    <t>Total gained</t>
  </si>
  <si>
    <t>Total biked</t>
  </si>
  <si>
    <t>days/km</t>
  </si>
  <si>
    <t>DALY/km</t>
  </si>
  <si>
    <t>Avg:</t>
  </si>
  <si>
    <t>Country corrected</t>
  </si>
  <si>
    <t>From Hartog et al. Review 2010, EHP</t>
  </si>
  <si>
    <t>Health benefit of cycling [&amp;walking]:</t>
  </si>
  <si>
    <t xml:space="preserve">For OECD Europe: </t>
  </si>
  <si>
    <t>FOR REALITY CONTROL:</t>
  </si>
  <si>
    <t>ug/m3</t>
  </si>
  <si>
    <t>of which mineral matter</t>
  </si>
  <si>
    <t xml:space="preserve">Country code </t>
  </si>
  <si>
    <t>Road traffic adjustment factor</t>
  </si>
  <si>
    <t>Liquid biofuel avg.</t>
  </si>
  <si>
    <t>secondary</t>
  </si>
  <si>
    <t>EC+OC</t>
  </si>
  <si>
    <t xml:space="preserve">Average iF </t>
  </si>
  <si>
    <t>iF for fuel ash PM emission</t>
  </si>
  <si>
    <t>iF for secondary PM emission</t>
  </si>
  <si>
    <t xml:space="preserve">iF for primary EC&amp;OC emission </t>
  </si>
  <si>
    <t>Average PM2.5  inhalation exposure concentration from man made combustion processes</t>
  </si>
  <si>
    <t xml:space="preserve">UNECE 2 0 1 1, 2008 data for all European OECD countries  </t>
  </si>
  <si>
    <t>Air Quality in Europe - 2013 Report. EEA Report No 9 / 2013</t>
  </si>
  <si>
    <t>(sub)urban 2009-11 PM2.5 mean</t>
  </si>
  <si>
    <t>Raw data</t>
  </si>
  <si>
    <t>Respctv. EEA 2013 data</t>
  </si>
  <si>
    <t>corrected</t>
  </si>
  <si>
    <t>Energy balance sheet, FINLAND 2009 (IEA,2011)</t>
  </si>
  <si>
    <t xml:space="preserve">For FINLAND: </t>
  </si>
  <si>
    <t>Energy balance sheet, Germany 2009 (IEA,2011)</t>
  </si>
  <si>
    <t xml:space="preserve">For GERMANY: </t>
  </si>
  <si>
    <t>Energy balance sheet, GREECE (IEA,2011)</t>
  </si>
  <si>
    <t xml:space="preserve">For GREECE: </t>
  </si>
  <si>
    <t>Energy balance sheet, The NETHERLANDS (IEA,2011)</t>
  </si>
  <si>
    <t>For The NETHERLANDS: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</si>
</sst>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
    <numFmt numFmtId="166" formatCode="#,##0.0"/>
    <numFmt numFmtId="167" formatCode="#,##0.000"/>
    <numFmt numFmtId="168" formatCode="0.0000"/>
    <numFmt numFmtId="169" formatCode="0.0E+00"/>
  </numFmts>
  <fonts count="68">
    <font>
      <sz val="10"/>
      <name val="Arial"/>
      <family val="2"/>
    </font>
    <font>
      <sz val="11"/>
      <color theme="1"/>
      <name val="Calibri"/>
      <family val="2"/>
      <scheme val="minor"/>
    </font>
    <font>
      <b/>
      <sz val="10"/>
      <name val="Arial"/>
      <family val="2"/>
    </font>
    <font>
      <i/>
      <sz val="10"/>
      <name val="Arial"/>
      <family val="2"/>
    </font>
    <font>
      <sz val="8"/>
      <name val="Arial"/>
      <family val="2"/>
    </font>
    <font>
      <b/>
      <sz val="14"/>
      <name val="Arial"/>
      <family val="2"/>
    </font>
    <font>
      <b/>
      <sz val="12"/>
      <name val="Arial"/>
      <family val="2"/>
    </font>
    <font>
      <b/>
      <sz val="11"/>
      <name val="Arial"/>
      <family val="2"/>
    </font>
    <font>
      <sz val="11"/>
      <name val="Arial"/>
      <family val="2"/>
    </font>
    <font>
      <b/>
      <sz val="10"/>
      <name val="Arial Narrow"/>
      <family val="2"/>
    </font>
    <font>
      <b/>
      <sz val="11"/>
      <color indexed="9"/>
      <name val="Arial"/>
      <family val="2"/>
    </font>
    <font>
      <sz val="11"/>
      <color indexed="9"/>
      <name val="Arial"/>
      <family val="2"/>
    </font>
    <font>
      <vertAlign val="subscript"/>
      <sz val="10"/>
      <name val="Arial"/>
      <family val="2"/>
    </font>
    <font>
      <b/>
      <vertAlign val="subscript"/>
      <sz val="11"/>
      <color indexed="9"/>
      <name val="Arial"/>
      <family val="2"/>
    </font>
    <font>
      <b/>
      <vertAlign val="subscript"/>
      <sz val="11"/>
      <name val="Arial"/>
      <family val="2"/>
    </font>
    <font>
      <b/>
      <vertAlign val="subscript"/>
      <sz val="12"/>
      <name val="Arial"/>
      <family val="2"/>
    </font>
    <font>
      <b/>
      <sz val="12"/>
      <color indexed="9"/>
      <name val="Arial"/>
      <family val="2"/>
    </font>
    <font>
      <b/>
      <vertAlign val="subscript"/>
      <sz val="12"/>
      <color indexed="9"/>
      <name val="Arial"/>
      <family val="2"/>
    </font>
    <font>
      <sz val="10"/>
      <color indexed="9"/>
      <name val="Arial"/>
      <family val="2"/>
    </font>
    <font>
      <sz val="12"/>
      <name val="Arial"/>
      <family val="2"/>
    </font>
    <font>
      <b/>
      <sz val="11"/>
      <color indexed="55"/>
      <name val="Arial"/>
      <family val="2"/>
    </font>
    <font>
      <sz val="11"/>
      <name val="Arial Narrow"/>
      <family val="2"/>
    </font>
    <font>
      <sz val="10"/>
      <color indexed="10"/>
      <name val="Arial"/>
      <family val="2"/>
    </font>
    <font>
      <sz val="10"/>
      <name val="Arial Narrow"/>
      <family val="2"/>
    </font>
    <font>
      <vertAlign val="subscript"/>
      <sz val="10"/>
      <name val="Arial Narrow"/>
      <family val="2"/>
    </font>
    <font>
      <b/>
      <sz val="12"/>
      <color indexed="10"/>
      <name val="Arial"/>
      <family val="2"/>
    </font>
    <font>
      <b/>
      <sz val="10"/>
      <color rgb="FFC00000"/>
      <name val="Arial"/>
      <family val="2"/>
    </font>
    <font>
      <sz val="10"/>
      <color rgb="FFC00000"/>
      <name val="Arial"/>
      <family val="2"/>
    </font>
    <font>
      <i/>
      <sz val="10"/>
      <name val="Arial Narrow"/>
      <family val="2"/>
    </font>
    <font>
      <sz val="10"/>
      <color rgb="FFFF0000"/>
      <name val="Arial"/>
      <family val="2"/>
    </font>
    <font>
      <b/>
      <sz val="11"/>
      <color rgb="FFFF0000"/>
      <name val="Arial"/>
      <family val="2"/>
    </font>
    <font>
      <sz val="11"/>
      <color rgb="FFFF0000"/>
      <name val="Calibri"/>
      <family val="2"/>
      <scheme val="minor"/>
    </font>
    <font>
      <b/>
      <sz val="11"/>
      <color theme="1"/>
      <name val="Calibri"/>
      <family val="2"/>
      <scheme val="minor"/>
    </font>
    <font>
      <b/>
      <sz val="16"/>
      <color theme="1"/>
      <name val="Calibri"/>
      <family val="2"/>
      <scheme val="minor"/>
    </font>
    <font>
      <sz val="11"/>
      <color theme="1"/>
      <name val="Arial Narrow"/>
      <family val="2"/>
    </font>
    <font>
      <b/>
      <sz val="11"/>
      <color rgb="FFFF0000"/>
      <name val="Calibri"/>
      <family val="2"/>
      <scheme val="minor"/>
    </font>
    <font>
      <sz val="10"/>
      <color rgb="FFC00000"/>
      <name val="Arial Narrow"/>
      <family val="2"/>
    </font>
    <font>
      <b/>
      <sz val="11"/>
      <name val="Calibri"/>
      <family val="2"/>
      <scheme val="minor"/>
    </font>
    <font>
      <sz val="10"/>
      <color theme="1"/>
      <name val="Arial Narrow"/>
      <family val="2"/>
    </font>
    <font>
      <sz val="9"/>
      <color theme="1"/>
      <name val="Arial Narrow"/>
      <family val="2"/>
    </font>
    <font>
      <sz val="10"/>
      <color theme="1"/>
      <name val="Arial"/>
      <family val="2"/>
    </font>
    <font>
      <sz val="11"/>
      <name val="Calibri"/>
      <family val="2"/>
      <scheme val="minor"/>
    </font>
    <font>
      <b/>
      <i/>
      <sz val="11"/>
      <name val="Arial"/>
      <family val="2"/>
    </font>
    <font>
      <b/>
      <sz val="11"/>
      <color rgb="FFC00000"/>
      <name val="Arial"/>
      <family val="2"/>
    </font>
    <font>
      <sz val="12"/>
      <color rgb="FFC00000"/>
      <name val="Arial"/>
      <family val="2"/>
    </font>
    <font>
      <sz val="11"/>
      <color rgb="FFC00000"/>
      <name val="Calibri"/>
      <family val="2"/>
      <scheme val="minor"/>
    </font>
    <font>
      <b/>
      <sz val="10"/>
      <color theme="7" tint="-0.24997000396251678"/>
      <name val="Arial"/>
      <family val="2"/>
    </font>
    <font>
      <i/>
      <sz val="10"/>
      <color theme="7" tint="-0.24997000396251678"/>
      <name val="Arial"/>
      <family val="2"/>
    </font>
    <font>
      <sz val="10"/>
      <color theme="7" tint="-0.24997000396251678"/>
      <name val="Arial"/>
      <family val="2"/>
    </font>
    <font>
      <b/>
      <sz val="20"/>
      <name val="Arial"/>
      <family val="2"/>
    </font>
    <font>
      <b/>
      <sz val="10"/>
      <color rgb="FFFF0000"/>
      <name val="Arial"/>
      <family val="2"/>
    </font>
    <font>
      <sz val="11"/>
      <color rgb="FFFF0000"/>
      <name val="Arial"/>
      <family val="2"/>
    </font>
    <font>
      <b/>
      <sz val="11"/>
      <color rgb="FFFF0000"/>
      <name val="Arial Narrow"/>
      <family val="2"/>
    </font>
    <font>
      <sz val="12"/>
      <color rgb="FFFF0000"/>
      <name val="Arial"/>
      <family val="2"/>
    </font>
    <font>
      <b/>
      <sz val="28"/>
      <name val="Arial"/>
      <family val="2"/>
    </font>
    <font>
      <sz val="10"/>
      <color theme="0"/>
      <name val="Arial"/>
      <family val="2"/>
    </font>
    <font>
      <sz val="14"/>
      <name val="Arial"/>
      <family val="2"/>
    </font>
    <font>
      <b/>
      <sz val="12"/>
      <color theme="1"/>
      <name val="Calibri"/>
      <family val="2"/>
      <scheme val="minor"/>
    </font>
    <font>
      <b/>
      <sz val="12"/>
      <name val="Calibri"/>
      <family val="2"/>
      <scheme val="minor"/>
    </font>
    <font>
      <b/>
      <sz val="10"/>
      <color theme="0"/>
      <name val="Arial"/>
      <family val="2"/>
    </font>
    <font>
      <b/>
      <sz val="14"/>
      <color theme="0"/>
      <name val="Arial"/>
      <family val="2"/>
    </font>
    <font>
      <sz val="12"/>
      <name val="Arial Narrow"/>
      <family val="2"/>
    </font>
    <font>
      <sz val="9"/>
      <name val="Arial"/>
      <family val="2"/>
    </font>
    <font>
      <sz val="9"/>
      <name val="Arial Narrow"/>
      <family val="2"/>
    </font>
    <font>
      <b/>
      <sz val="16"/>
      <name val="Arial"/>
      <family val="2"/>
    </font>
    <font>
      <b/>
      <sz val="22"/>
      <name val="Arial"/>
      <family val="2"/>
    </font>
    <font>
      <b/>
      <sz val="9"/>
      <color rgb="FFFF0000"/>
      <name val="Arial Narrow"/>
      <family val="2"/>
    </font>
    <font>
      <sz val="10"/>
      <color theme="1"/>
      <name val="Arial"/>
      <family val="2"/>
      <scheme val="minor"/>
    </font>
  </fonts>
  <fills count="35">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19"/>
        <bgColor indexed="64"/>
      </patternFill>
    </fill>
    <fill>
      <patternFill patternType="solid">
        <fgColor indexed="41"/>
        <bgColor indexed="64"/>
      </patternFill>
    </fill>
    <fill>
      <patternFill patternType="solid">
        <fgColor indexed="60"/>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rgb="FFCC3300"/>
        <bgColor indexed="64"/>
      </patternFill>
    </fill>
    <fill>
      <patternFill patternType="solid">
        <fgColor rgb="FFFFFF00"/>
        <bgColor indexed="64"/>
      </patternFill>
    </fill>
    <fill>
      <patternFill patternType="solid">
        <fgColor theme="4"/>
        <bgColor indexed="64"/>
      </patternFill>
    </fill>
    <fill>
      <patternFill patternType="solid">
        <fgColor rgb="FFFF0000"/>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7999799847602844"/>
        <bgColor indexed="64"/>
      </patternFill>
    </fill>
    <fill>
      <patternFill patternType="solid">
        <fgColor theme="2"/>
        <bgColor indexed="64"/>
      </patternFill>
    </fill>
    <fill>
      <patternFill patternType="solid">
        <fgColor theme="5" tint="0.7999799847602844"/>
        <bgColor indexed="64"/>
      </patternFill>
    </fill>
    <fill>
      <patternFill patternType="solid">
        <fgColor theme="9" tint="0.39998000860214233"/>
        <bgColor indexed="64"/>
      </patternFill>
    </fill>
    <fill>
      <patternFill patternType="solid">
        <fgColor rgb="FFFFFF99"/>
        <bgColor indexed="64"/>
      </patternFill>
    </fill>
    <fill>
      <patternFill patternType="solid">
        <fgColor theme="6" tint="0.5999900102615356"/>
        <bgColor indexed="64"/>
      </patternFill>
    </fill>
    <fill>
      <patternFill patternType="solid">
        <fgColor rgb="FFFFC000"/>
        <bgColor indexed="64"/>
      </patternFill>
    </fill>
    <fill>
      <patternFill patternType="solid">
        <fgColor theme="5" tint="-0.24997000396251678"/>
        <bgColor indexed="64"/>
      </patternFill>
    </fill>
    <fill>
      <patternFill patternType="solid">
        <fgColor rgb="FFCCFFFF"/>
        <bgColor indexed="64"/>
      </patternFill>
    </fill>
    <fill>
      <patternFill patternType="solid">
        <fgColor theme="9" tint="-0.4999699890613556"/>
        <bgColor indexed="64"/>
      </patternFill>
    </fill>
    <fill>
      <patternFill patternType="solid">
        <fgColor rgb="FF0070C0"/>
        <bgColor indexed="64"/>
      </patternFill>
    </fill>
    <fill>
      <patternFill patternType="solid">
        <fgColor rgb="FF66FFFF"/>
        <bgColor indexed="64"/>
      </patternFill>
    </fill>
    <fill>
      <patternFill patternType="solid">
        <fgColor indexed="13"/>
        <bgColor indexed="64"/>
      </patternFill>
    </fill>
  </fills>
  <borders count="65">
    <border>
      <left/>
      <right/>
      <top/>
      <bottom/>
      <diagonal/>
    </border>
    <border>
      <left/>
      <right style="thin"/>
      <top/>
      <bottom/>
    </border>
    <border>
      <left style="medium"/>
      <right style="thin"/>
      <top/>
      <bottom style="medium"/>
    </border>
    <border>
      <left/>
      <right style="thin"/>
      <top/>
      <bottom style="thin"/>
    </border>
    <border>
      <left style="medium"/>
      <right style="thin"/>
      <top/>
      <bottom/>
    </border>
    <border>
      <left style="medium"/>
      <right style="thin"/>
      <top style="medium"/>
      <bottom style="medium"/>
    </border>
    <border>
      <left/>
      <right/>
      <top style="medium"/>
      <bottom style="medium"/>
    </border>
    <border>
      <left/>
      <right/>
      <top style="medium"/>
      <bottom/>
    </border>
    <border>
      <left/>
      <right/>
      <top/>
      <bottom style="medium"/>
    </border>
    <border>
      <left style="medium"/>
      <right/>
      <top style="medium"/>
      <bottom/>
    </border>
    <border>
      <left style="medium"/>
      <right/>
      <top/>
      <bottom style="medium"/>
    </border>
    <border>
      <left/>
      <right style="thin"/>
      <top style="medium"/>
      <bottom/>
    </border>
    <border>
      <left/>
      <right style="thin"/>
      <top/>
      <bottom style="medium"/>
    </border>
    <border>
      <left/>
      <right style="thin"/>
      <top style="medium"/>
      <bottom style="medium"/>
    </border>
    <border>
      <left/>
      <right style="medium"/>
      <top style="medium"/>
      <bottom style="medium"/>
    </border>
    <border>
      <left style="medium"/>
      <right style="thin"/>
      <top style="medium"/>
      <bottom/>
    </border>
    <border>
      <left/>
      <right style="medium"/>
      <top style="medium"/>
      <bottom/>
    </border>
    <border>
      <left/>
      <right style="medium"/>
      <top/>
      <bottom style="medium"/>
    </border>
    <border>
      <left/>
      <right/>
      <top/>
      <bottom style="thin"/>
    </border>
    <border>
      <left style="thin"/>
      <right/>
      <top style="thin"/>
      <bottom style="thin"/>
    </border>
    <border>
      <left/>
      <right style="thin"/>
      <top style="thin"/>
      <bottom style="thin"/>
    </border>
    <border>
      <left style="thin"/>
      <right style="thin"/>
      <top style="medium"/>
      <bottom/>
    </border>
    <border>
      <left style="thin"/>
      <right style="thin"/>
      <top/>
      <bottom/>
    </border>
    <border>
      <left style="thin"/>
      <right style="thin"/>
      <top/>
      <bottom style="thin"/>
    </border>
    <border>
      <left style="thin"/>
      <right style="thin"/>
      <top/>
      <bottom style="medium"/>
    </border>
    <border>
      <left style="medium"/>
      <right/>
      <top style="medium"/>
      <bottom style="medium"/>
    </border>
    <border>
      <left/>
      <right/>
      <top style="thin"/>
      <bottom/>
    </border>
    <border>
      <left style="thin"/>
      <right/>
      <top/>
      <bottom style="thin"/>
    </border>
    <border>
      <left style="thin"/>
      <right/>
      <top/>
      <bottom style="medium"/>
    </border>
    <border>
      <left style="thin"/>
      <right/>
      <top/>
      <bottom/>
    </border>
    <border>
      <left style="thin"/>
      <right/>
      <top style="thin"/>
      <bottom/>
    </border>
    <border>
      <left style="medium"/>
      <right style="medium"/>
      <top style="medium"/>
      <bottom style="medium"/>
    </border>
    <border>
      <left style="thin"/>
      <right style="thin"/>
      <top style="thin"/>
      <bottom/>
    </border>
    <border>
      <left style="thin"/>
      <right style="thin"/>
      <top style="medium"/>
      <bottom style="medium"/>
    </border>
    <border>
      <left style="medium"/>
      <right/>
      <top/>
      <bottom/>
    </border>
    <border>
      <left style="thin"/>
      <right style="medium"/>
      <top style="thin"/>
      <bottom style="thin"/>
    </border>
    <border>
      <left/>
      <right/>
      <top style="thin"/>
      <bottom style="thin"/>
    </border>
    <border>
      <left style="medium"/>
      <right style="thin"/>
      <top style="thin"/>
      <bottom style="thin"/>
    </border>
    <border>
      <left style="thin"/>
      <right style="thin"/>
      <top style="thin"/>
      <bottom style="thin"/>
    </border>
    <border>
      <left/>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thin"/>
    </border>
    <border>
      <left/>
      <right style="thin"/>
      <top style="thin"/>
      <bottom style="medium"/>
    </border>
    <border>
      <left style="medium"/>
      <right style="medium"/>
      <top style="thin"/>
      <bottom style="medium"/>
    </border>
    <border>
      <left style="medium"/>
      <right style="medium"/>
      <top/>
      <bottom/>
    </border>
    <border>
      <left style="medium"/>
      <right style="medium"/>
      <top/>
      <bottom style="medium"/>
    </border>
    <border>
      <left style="medium"/>
      <right style="medium"/>
      <top style="medium"/>
      <bottom/>
    </border>
    <border>
      <left style="thin"/>
      <right style="medium"/>
      <top/>
      <bottom/>
    </border>
    <border>
      <left/>
      <right style="thin"/>
      <top style="thin"/>
      <bottom/>
    </border>
    <border>
      <left style="thin"/>
      <right style="medium"/>
      <top style="medium"/>
      <bottom/>
    </border>
    <border>
      <left style="thin"/>
      <right style="medium"/>
      <top/>
      <bottom style="medium"/>
    </border>
    <border>
      <left style="medium"/>
      <right style="thin"/>
      <top style="medium"/>
      <bottom style="thin"/>
    </border>
    <border>
      <left style="thin"/>
      <right style="medium"/>
      <top style="medium"/>
      <bottom style="thin"/>
    </border>
    <border>
      <left/>
      <right style="medium"/>
      <top style="thin"/>
      <bottom style="thin"/>
    </border>
    <border>
      <left style="medium"/>
      <right/>
      <top style="medium"/>
      <bottom style="thin"/>
    </border>
    <border>
      <left/>
      <right style="medium"/>
      <top style="medium"/>
      <bottom style="thin"/>
    </border>
    <border>
      <left/>
      <right style="thin"/>
      <top style="medium"/>
      <bottom style="thin"/>
    </border>
    <border>
      <left style="thin"/>
      <right style="thin"/>
      <top style="medium"/>
      <bottom style="thin"/>
    </border>
    <border>
      <left style="medium"/>
      <right style="medium"/>
      <top style="medium"/>
      <bottom style="thin"/>
    </border>
    <border>
      <left style="medium"/>
      <right style="medium"/>
      <top style="thin"/>
      <bottom style="thin"/>
    </border>
    <border>
      <left style="medium"/>
      <right/>
      <top style="thin"/>
      <bottom style="thin"/>
    </border>
    <border>
      <left style="thin"/>
      <right/>
      <top style="medium"/>
      <bottom style="thin"/>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84">
    <xf numFmtId="0" fontId="0" fillId="0" borderId="0" xfId="0"/>
    <xf numFmtId="0" fontId="0" fillId="0" borderId="1" xfId="0" applyBorder="1"/>
    <xf numFmtId="0" fontId="2" fillId="2" borderId="2" xfId="0" applyFont="1" applyFill="1" applyBorder="1"/>
    <xf numFmtId="2" fontId="0" fillId="2" borderId="1" xfId="0" applyNumberFormat="1" applyFill="1" applyBorder="1"/>
    <xf numFmtId="2" fontId="0" fillId="0" borderId="0" xfId="0" applyNumberFormat="1"/>
    <xf numFmtId="2" fontId="2" fillId="2" borderId="1" xfId="0" applyNumberFormat="1" applyFont="1" applyFill="1" applyBorder="1"/>
    <xf numFmtId="2" fontId="0" fillId="2" borderId="3" xfId="0" applyNumberFormat="1" applyFill="1" applyBorder="1"/>
    <xf numFmtId="2" fontId="0" fillId="2" borderId="4" xfId="0" applyNumberFormat="1" applyFill="1" applyBorder="1"/>
    <xf numFmtId="2" fontId="7" fillId="2" borderId="5" xfId="0" applyNumberFormat="1" applyFont="1" applyFill="1" applyBorder="1"/>
    <xf numFmtId="2" fontId="7" fillId="2" borderId="6" xfId="0" applyNumberFormat="1" applyFont="1" applyFill="1" applyBorder="1"/>
    <xf numFmtId="0" fontId="8" fillId="0" borderId="0" xfId="0" applyFont="1"/>
    <xf numFmtId="2" fontId="2" fillId="0" borderId="0" xfId="0" applyNumberFormat="1" applyFont="1"/>
    <xf numFmtId="2" fontId="2" fillId="0" borderId="0" xfId="0" applyNumberFormat="1" applyFont="1" applyFill="1" applyBorder="1"/>
    <xf numFmtId="0" fontId="2" fillId="2" borderId="7" xfId="0" applyFont="1" applyFill="1" applyBorder="1" applyAlignment="1">
      <alignment horizontal="center"/>
    </xf>
    <xf numFmtId="0" fontId="2" fillId="2" borderId="8" xfId="0" applyFont="1" applyFill="1" applyBorder="1" applyAlignment="1">
      <alignment horizontal="center"/>
    </xf>
    <xf numFmtId="0" fontId="9" fillId="2" borderId="7" xfId="0" applyFont="1" applyFill="1" applyBorder="1" applyAlignment="1">
      <alignment horizontal="center"/>
    </xf>
    <xf numFmtId="0" fontId="9" fillId="2" borderId="8" xfId="0" applyFont="1" applyFill="1" applyBorder="1" applyAlignment="1">
      <alignment horizontal="center"/>
    </xf>
    <xf numFmtId="2" fontId="0" fillId="0" borderId="0" xfId="0" applyNumberFormat="1" applyAlignment="1">
      <alignment horizontal="center"/>
    </xf>
    <xf numFmtId="0" fontId="8" fillId="0" borderId="0" xfId="0" applyFont="1" applyFill="1"/>
    <xf numFmtId="0" fontId="2" fillId="2" borderId="9" xfId="0" applyFont="1" applyFill="1" applyBorder="1"/>
    <xf numFmtId="0" fontId="2" fillId="2" borderId="10" xfId="0" applyFont="1" applyFill="1" applyBorder="1"/>
    <xf numFmtId="2" fontId="10" fillId="3" borderId="0" xfId="0" applyNumberFormat="1" applyFont="1" applyFill="1" applyAlignment="1">
      <alignment horizontal="left"/>
    </xf>
    <xf numFmtId="2" fontId="10" fillId="4" borderId="0" xfId="0" applyNumberFormat="1" applyFont="1" applyFill="1" applyAlignment="1" applyProtection="1">
      <alignment horizontal="left"/>
      <protection/>
    </xf>
    <xf numFmtId="2" fontId="7" fillId="0" borderId="8" xfId="0" applyNumberFormat="1" applyFont="1" applyBorder="1" applyAlignment="1">
      <alignment horizontal="left"/>
    </xf>
    <xf numFmtId="2" fontId="0" fillId="5" borderId="0" xfId="0" applyNumberFormat="1" applyFill="1" applyProtection="1">
      <protection locked="0"/>
    </xf>
    <xf numFmtId="0" fontId="0" fillId="0" borderId="0" xfId="0" applyFill="1"/>
    <xf numFmtId="0" fontId="0" fillId="6" borderId="0" xfId="0" applyFill="1"/>
    <xf numFmtId="0" fontId="2" fillId="6" borderId="11" xfId="0" applyFont="1" applyFill="1" applyBorder="1" applyAlignment="1">
      <alignment horizontal="center"/>
    </xf>
    <xf numFmtId="0" fontId="2" fillId="6" borderId="12" xfId="0" applyFont="1" applyFill="1" applyBorder="1" applyAlignment="1">
      <alignment horizontal="center"/>
    </xf>
    <xf numFmtId="2" fontId="0" fillId="6" borderId="1" xfId="0" applyNumberFormat="1" applyFill="1" applyBorder="1" applyProtection="1">
      <protection locked="0"/>
    </xf>
    <xf numFmtId="2" fontId="7" fillId="6" borderId="13" xfId="0" applyNumberFormat="1" applyFont="1" applyFill="1" applyBorder="1"/>
    <xf numFmtId="0" fontId="8" fillId="6" borderId="0" xfId="0" applyFont="1" applyFill="1"/>
    <xf numFmtId="2" fontId="0" fillId="6" borderId="1" xfId="0" applyNumberFormat="1" applyFill="1" applyBorder="1"/>
    <xf numFmtId="2" fontId="2" fillId="6" borderId="1" xfId="0" applyNumberFormat="1" applyFont="1" applyFill="1" applyBorder="1"/>
    <xf numFmtId="2" fontId="0" fillId="6" borderId="3" xfId="0" applyNumberFormat="1" applyFill="1" applyBorder="1" applyProtection="1">
      <protection locked="0"/>
    </xf>
    <xf numFmtId="0" fontId="6" fillId="6" borderId="14" xfId="0" applyFont="1" applyFill="1" applyBorder="1" applyAlignment="1">
      <alignment/>
    </xf>
    <xf numFmtId="0" fontId="8" fillId="2" borderId="6" xfId="0" applyFont="1" applyFill="1" applyBorder="1"/>
    <xf numFmtId="0" fontId="8" fillId="2" borderId="14" xfId="0" applyFont="1" applyFill="1" applyBorder="1"/>
    <xf numFmtId="0" fontId="0" fillId="2" borderId="6" xfId="0" applyFill="1" applyBorder="1"/>
    <xf numFmtId="0" fontId="0" fillId="2" borderId="14" xfId="0" applyFill="1" applyBorder="1"/>
    <xf numFmtId="0" fontId="2" fillId="7" borderId="15" xfId="0" applyFont="1" applyFill="1" applyBorder="1"/>
    <xf numFmtId="0" fontId="2" fillId="7" borderId="7" xfId="0" applyFont="1" applyFill="1" applyBorder="1" applyAlignment="1">
      <alignment horizontal="center"/>
    </xf>
    <xf numFmtId="0" fontId="9" fillId="7" borderId="7" xfId="0" applyFont="1" applyFill="1" applyBorder="1" applyAlignment="1">
      <alignment horizontal="center"/>
    </xf>
    <xf numFmtId="0" fontId="2" fillId="7" borderId="16" xfId="0" applyFont="1" applyFill="1" applyBorder="1" applyAlignment="1">
      <alignment horizontal="center"/>
    </xf>
    <xf numFmtId="0" fontId="2" fillId="7" borderId="2" xfId="0" applyFont="1" applyFill="1" applyBorder="1"/>
    <xf numFmtId="0" fontId="2" fillId="7" borderId="8" xfId="0" applyFont="1" applyFill="1" applyBorder="1" applyAlignment="1">
      <alignment horizontal="center"/>
    </xf>
    <xf numFmtId="0" fontId="9" fillId="7" borderId="8" xfId="0" applyFont="1" applyFill="1" applyBorder="1" applyAlignment="1">
      <alignment horizontal="center"/>
    </xf>
    <xf numFmtId="0" fontId="2" fillId="7" borderId="17" xfId="0" applyFont="1" applyFill="1" applyBorder="1" applyAlignment="1">
      <alignment horizontal="center"/>
    </xf>
    <xf numFmtId="2" fontId="0" fillId="7" borderId="1" xfId="0" applyNumberFormat="1" applyFill="1" applyBorder="1"/>
    <xf numFmtId="2" fontId="0" fillId="7" borderId="0" xfId="0" applyNumberFormat="1" applyFill="1"/>
    <xf numFmtId="2" fontId="7" fillId="7" borderId="5" xfId="0" applyNumberFormat="1" applyFont="1" applyFill="1" applyBorder="1"/>
    <xf numFmtId="2" fontId="7" fillId="7" borderId="6" xfId="0" applyNumberFormat="1" applyFont="1" applyFill="1" applyBorder="1"/>
    <xf numFmtId="2" fontId="7" fillId="7" borderId="14" xfId="0" applyNumberFormat="1" applyFont="1" applyFill="1" applyBorder="1"/>
    <xf numFmtId="0" fontId="0" fillId="7" borderId="0" xfId="0" applyFill="1"/>
    <xf numFmtId="2" fontId="0" fillId="7" borderId="0" xfId="0" applyNumberFormat="1" applyFill="1" applyBorder="1"/>
    <xf numFmtId="2" fontId="2" fillId="7" borderId="1" xfId="0" applyNumberFormat="1" applyFont="1" applyFill="1" applyBorder="1"/>
    <xf numFmtId="2" fontId="2" fillId="7" borderId="0" xfId="0" applyNumberFormat="1" applyFont="1" applyFill="1"/>
    <xf numFmtId="2" fontId="0" fillId="7" borderId="3" xfId="0" applyNumberFormat="1" applyFill="1" applyBorder="1"/>
    <xf numFmtId="2" fontId="0" fillId="7" borderId="18" xfId="0" applyNumberFormat="1" applyFill="1" applyBorder="1"/>
    <xf numFmtId="2" fontId="2" fillId="7" borderId="0" xfId="0" applyNumberFormat="1" applyFont="1" applyFill="1" applyBorder="1"/>
    <xf numFmtId="2" fontId="0" fillId="2" borderId="0" xfId="0" applyNumberFormat="1" applyFill="1"/>
    <xf numFmtId="0" fontId="0" fillId="2" borderId="0" xfId="0" applyFill="1"/>
    <xf numFmtId="0" fontId="0" fillId="0" borderId="0" xfId="0" applyAlignment="1">
      <alignment horizontal="left" wrapText="1"/>
    </xf>
    <xf numFmtId="0" fontId="0" fillId="0" borderId="1" xfId="0" applyBorder="1" applyAlignment="1">
      <alignment horizontal="left" wrapText="1"/>
    </xf>
    <xf numFmtId="2" fontId="0" fillId="0" borderId="0" xfId="0" applyNumberFormat="1" applyFill="1" applyBorder="1"/>
    <xf numFmtId="0" fontId="0" fillId="0" borderId="0" xfId="0" applyFill="1" applyBorder="1"/>
    <xf numFmtId="0" fontId="2" fillId="0" borderId="0" xfId="0" applyFont="1"/>
    <xf numFmtId="2" fontId="2" fillId="7" borderId="3" xfId="0" applyNumberFormat="1" applyFont="1" applyFill="1" applyBorder="1"/>
    <xf numFmtId="0" fontId="9" fillId="2" borderId="0" xfId="0" applyFont="1" applyFill="1" applyBorder="1" applyAlignment="1">
      <alignment horizontal="center"/>
    </xf>
    <xf numFmtId="0" fontId="2" fillId="2" borderId="4" xfId="0" applyFont="1" applyFill="1" applyBorder="1"/>
    <xf numFmtId="0" fontId="2" fillId="2" borderId="0" xfId="0" applyFont="1" applyFill="1" applyBorder="1" applyAlignment="1">
      <alignment horizontal="center"/>
    </xf>
    <xf numFmtId="0" fontId="9" fillId="0" borderId="8" xfId="0" applyFont="1" applyFill="1" applyBorder="1" applyAlignment="1">
      <alignment horizontal="left"/>
    </xf>
    <xf numFmtId="2" fontId="16" fillId="8" borderId="0" xfId="0" applyNumberFormat="1" applyFont="1" applyFill="1" applyBorder="1" applyProtection="1">
      <protection/>
    </xf>
    <xf numFmtId="0" fontId="18" fillId="8" borderId="0" xfId="0" applyFont="1" applyFill="1"/>
    <xf numFmtId="0" fontId="0" fillId="0" borderId="19" xfId="0" applyBorder="1" applyAlignment="1">
      <alignment/>
    </xf>
    <xf numFmtId="0" fontId="0" fillId="0" borderId="20" xfId="0" applyBorder="1" applyAlignment="1">
      <alignment/>
    </xf>
    <xf numFmtId="0" fontId="0" fillId="0" borderId="20" xfId="0" applyBorder="1"/>
    <xf numFmtId="2" fontId="2" fillId="2" borderId="21" xfId="0" applyNumberFormat="1" applyFont="1" applyFill="1" applyBorder="1"/>
    <xf numFmtId="2" fontId="0" fillId="2" borderId="22" xfId="0" applyNumberFormat="1" applyFill="1" applyBorder="1"/>
    <xf numFmtId="2" fontId="0" fillId="2" borderId="23" xfId="0" applyNumberFormat="1" applyFill="1" applyBorder="1"/>
    <xf numFmtId="2" fontId="2" fillId="2" borderId="22" xfId="0" applyNumberFormat="1" applyFont="1" applyFill="1" applyBorder="1"/>
    <xf numFmtId="2" fontId="0" fillId="2" borderId="24" xfId="0" applyNumberFormat="1" applyFill="1" applyBorder="1"/>
    <xf numFmtId="2" fontId="0" fillId="2" borderId="21" xfId="0" applyNumberFormat="1" applyFill="1" applyBorder="1"/>
    <xf numFmtId="2" fontId="7" fillId="2" borderId="25" xfId="0" applyNumberFormat="1" applyFont="1" applyFill="1" applyBorder="1"/>
    <xf numFmtId="2" fontId="7" fillId="2" borderId="1" xfId="0" applyNumberFormat="1" applyFont="1" applyFill="1" applyBorder="1"/>
    <xf numFmtId="2" fontId="7" fillId="2" borderId="0" xfId="0" applyNumberFormat="1" applyFont="1" applyFill="1" applyBorder="1"/>
    <xf numFmtId="2" fontId="2" fillId="2" borderId="0" xfId="0" applyNumberFormat="1" applyFont="1" applyFill="1" applyBorder="1"/>
    <xf numFmtId="2" fontId="8" fillId="7" borderId="0" xfId="0" applyNumberFormat="1" applyFont="1" applyFill="1" applyBorder="1"/>
    <xf numFmtId="2" fontId="0" fillId="7" borderId="0" xfId="0" applyNumberFormat="1" applyFont="1" applyFill="1" applyBorder="1"/>
    <xf numFmtId="2" fontId="2" fillId="7" borderId="26" xfId="0" applyNumberFormat="1" applyFont="1" applyFill="1" applyBorder="1"/>
    <xf numFmtId="2" fontId="0" fillId="7" borderId="18" xfId="0" applyNumberFormat="1" applyFont="1" applyFill="1" applyBorder="1"/>
    <xf numFmtId="0" fontId="0" fillId="0" borderId="0" xfId="0" applyBorder="1"/>
    <xf numFmtId="164" fontId="2" fillId="2" borderId="0" xfId="0" applyNumberFormat="1" applyFont="1" applyFill="1" applyBorder="1" applyAlignment="1">
      <alignment horizontal="center"/>
    </xf>
    <xf numFmtId="164" fontId="2" fillId="2" borderId="8" xfId="0" applyNumberFormat="1" applyFont="1" applyFill="1" applyBorder="1" applyAlignment="1">
      <alignment horizontal="center"/>
    </xf>
    <xf numFmtId="164" fontId="0" fillId="0" borderId="0" xfId="0" applyNumberFormat="1"/>
    <xf numFmtId="164" fontId="7" fillId="2" borderId="6" xfId="0" applyNumberFormat="1" applyFont="1" applyFill="1" applyBorder="1"/>
    <xf numFmtId="164" fontId="2" fillId="2" borderId="1" xfId="0" applyNumberFormat="1" applyFont="1" applyFill="1" applyBorder="1" applyAlignment="1">
      <alignment horizontal="center"/>
    </xf>
    <xf numFmtId="164" fontId="2" fillId="2" borderId="12" xfId="0" applyNumberFormat="1" applyFont="1" applyFill="1" applyBorder="1" applyAlignment="1">
      <alignment horizontal="center"/>
    </xf>
    <xf numFmtId="164" fontId="7" fillId="2" borderId="13" xfId="0" applyNumberFormat="1" applyFont="1" applyFill="1" applyBorder="1"/>
    <xf numFmtId="164" fontId="9" fillId="2" borderId="0" xfId="0" applyNumberFormat="1" applyFont="1" applyFill="1" applyBorder="1" applyAlignment="1">
      <alignment horizontal="center"/>
    </xf>
    <xf numFmtId="164" fontId="9" fillId="2" borderId="8" xfId="0" applyNumberFormat="1" applyFont="1" applyFill="1" applyBorder="1" applyAlignment="1">
      <alignment horizontal="center"/>
    </xf>
    <xf numFmtId="164" fontId="9" fillId="0" borderId="8" xfId="0" applyNumberFormat="1" applyFont="1" applyFill="1" applyBorder="1" applyAlignment="1">
      <alignment horizontal="left"/>
    </xf>
    <xf numFmtId="164" fontId="7" fillId="2" borderId="8" xfId="0" applyNumberFormat="1" applyFont="1" applyFill="1" applyBorder="1"/>
    <xf numFmtId="1" fontId="6" fillId="0" borderId="0" xfId="0" applyNumberFormat="1" applyFont="1" applyFill="1" applyBorder="1" applyAlignment="1">
      <alignment horizontal="center"/>
    </xf>
    <xf numFmtId="1" fontId="10" fillId="4" borderId="0" xfId="0" applyNumberFormat="1" applyFont="1" applyFill="1" applyAlignment="1">
      <alignment horizontal="center"/>
    </xf>
    <xf numFmtId="1" fontId="10" fillId="3" borderId="0" xfId="0" applyNumberFormat="1" applyFont="1" applyFill="1" applyAlignment="1">
      <alignment horizontal="center"/>
    </xf>
    <xf numFmtId="1" fontId="8" fillId="0" borderId="0" xfId="0" applyNumberFormat="1" applyFont="1"/>
    <xf numFmtId="1" fontId="7" fillId="0" borderId="6" xfId="0" applyNumberFormat="1" applyFont="1" applyFill="1" applyBorder="1"/>
    <xf numFmtId="1" fontId="20" fillId="0" borderId="6" xfId="0" applyNumberFormat="1" applyFont="1" applyFill="1" applyBorder="1"/>
    <xf numFmtId="1" fontId="8" fillId="0" borderId="0" xfId="0" applyNumberFormat="1" applyFont="1" applyFill="1"/>
    <xf numFmtId="1" fontId="7" fillId="2" borderId="6" xfId="0" applyNumberFormat="1" applyFont="1" applyFill="1" applyBorder="1"/>
    <xf numFmtId="1" fontId="7" fillId="2" borderId="14" xfId="0" applyNumberFormat="1" applyFont="1" applyFill="1" applyBorder="1"/>
    <xf numFmtId="2" fontId="0" fillId="7" borderId="1" xfId="0" applyNumberFormat="1" applyFont="1" applyFill="1" applyBorder="1"/>
    <xf numFmtId="0" fontId="21" fillId="0" borderId="0" xfId="0" applyFont="1"/>
    <xf numFmtId="0" fontId="21" fillId="0" borderId="0" xfId="0" applyFont="1" applyAlignment="1">
      <alignment horizontal="right"/>
    </xf>
    <xf numFmtId="164" fontId="21" fillId="0" borderId="0" xfId="0" applyNumberFormat="1" applyFont="1"/>
    <xf numFmtId="1" fontId="0" fillId="2" borderId="0" xfId="0" applyNumberFormat="1" applyFill="1"/>
    <xf numFmtId="1" fontId="2" fillId="2" borderId="1" xfId="0" applyNumberFormat="1" applyFont="1" applyFill="1" applyBorder="1"/>
    <xf numFmtId="1" fontId="7" fillId="2" borderId="25" xfId="0" applyNumberFormat="1" applyFont="1" applyFill="1" applyBorder="1"/>
    <xf numFmtId="1" fontId="2" fillId="2" borderId="0" xfId="0" applyNumberFormat="1" applyFont="1" applyFill="1"/>
    <xf numFmtId="1" fontId="0" fillId="2" borderId="27" xfId="0" applyNumberFormat="1" applyFill="1" applyBorder="1"/>
    <xf numFmtId="1" fontId="0" fillId="2" borderId="18" xfId="0" applyNumberFormat="1" applyFill="1" applyBorder="1"/>
    <xf numFmtId="1" fontId="2" fillId="2" borderId="3" xfId="0" applyNumberFormat="1" applyFont="1" applyFill="1" applyBorder="1"/>
    <xf numFmtId="164" fontId="8" fillId="0" borderId="0" xfId="0" applyNumberFormat="1" applyFont="1" applyFill="1"/>
    <xf numFmtId="0" fontId="0" fillId="8" borderId="0" xfId="0" applyFill="1"/>
    <xf numFmtId="0" fontId="0" fillId="4" borderId="0" xfId="0" applyFill="1"/>
    <xf numFmtId="0" fontId="0" fillId="3" borderId="0" xfId="0" applyFill="1"/>
    <xf numFmtId="0" fontId="9" fillId="2" borderId="8" xfId="0" applyFont="1" applyFill="1" applyBorder="1" applyAlignment="1">
      <alignment horizontal="left"/>
    </xf>
    <xf numFmtId="2" fontId="7" fillId="0" borderId="0" xfId="0" applyNumberFormat="1" applyFont="1" applyBorder="1" applyAlignment="1">
      <alignment horizontal="left"/>
    </xf>
    <xf numFmtId="1" fontId="7" fillId="0" borderId="0" xfId="0" applyNumberFormat="1" applyFont="1" applyBorder="1" applyAlignment="1">
      <alignment horizontal="center"/>
    </xf>
    <xf numFmtId="0" fontId="0" fillId="2" borderId="7" xfId="0" applyFill="1" applyBorder="1"/>
    <xf numFmtId="0" fontId="0" fillId="2" borderId="16" xfId="0" applyFill="1" applyBorder="1"/>
    <xf numFmtId="0" fontId="0" fillId="2" borderId="8" xfId="0" applyFill="1" applyBorder="1"/>
    <xf numFmtId="0" fontId="0" fillId="2" borderId="17" xfId="0" applyFill="1" applyBorder="1"/>
    <xf numFmtId="0" fontId="0" fillId="0" borderId="8" xfId="0" applyBorder="1"/>
    <xf numFmtId="0" fontId="8" fillId="0" borderId="8" xfId="0" applyFont="1" applyBorder="1"/>
    <xf numFmtId="0" fontId="2" fillId="2" borderId="7" xfId="0" applyFont="1" applyFill="1" applyBorder="1" applyAlignment="1">
      <alignment horizontal="left"/>
    </xf>
    <xf numFmtId="0" fontId="9" fillId="2" borderId="7" xfId="0" applyFont="1" applyFill="1" applyBorder="1" applyAlignment="1">
      <alignment horizontal="left"/>
    </xf>
    <xf numFmtId="0" fontId="2" fillId="2" borderId="8" xfId="0" applyFont="1" applyFill="1" applyBorder="1" applyAlignment="1">
      <alignment horizontal="left"/>
    </xf>
    <xf numFmtId="164" fontId="22" fillId="0" borderId="0" xfId="0" applyNumberFormat="1" applyFont="1"/>
    <xf numFmtId="0" fontId="22" fillId="0" borderId="0" xfId="0" applyFont="1"/>
    <xf numFmtId="2" fontId="22" fillId="0" borderId="0" xfId="0" applyNumberFormat="1" applyFont="1"/>
    <xf numFmtId="2" fontId="0" fillId="0" borderId="0" xfId="0" applyNumberFormat="1" applyBorder="1"/>
    <xf numFmtId="2" fontId="0" fillId="0" borderId="10" xfId="0" applyNumberFormat="1" applyBorder="1"/>
    <xf numFmtId="2" fontId="0" fillId="0" borderId="8" xfId="0" applyNumberFormat="1" applyBorder="1"/>
    <xf numFmtId="2" fontId="0" fillId="0" borderId="28" xfId="0" applyNumberFormat="1" applyBorder="1"/>
    <xf numFmtId="2" fontId="6" fillId="0" borderId="0" xfId="0" applyNumberFormat="1" applyFont="1"/>
    <xf numFmtId="2" fontId="2" fillId="2" borderId="29" xfId="0" applyNumberFormat="1" applyFont="1" applyFill="1" applyBorder="1"/>
    <xf numFmtId="2" fontId="0" fillId="2" borderId="29" xfId="0" applyNumberFormat="1" applyFill="1" applyBorder="1"/>
    <xf numFmtId="2" fontId="0" fillId="2" borderId="0" xfId="0" applyNumberFormat="1" applyFill="1" applyBorder="1"/>
    <xf numFmtId="2" fontId="0" fillId="2" borderId="27" xfId="0" applyNumberFormat="1" applyFill="1" applyBorder="1"/>
    <xf numFmtId="1" fontId="0" fillId="2" borderId="29" xfId="0" applyNumberFormat="1" applyFill="1" applyBorder="1"/>
    <xf numFmtId="1" fontId="0" fillId="2" borderId="30" xfId="0" applyNumberFormat="1" applyFill="1" applyBorder="1"/>
    <xf numFmtId="164" fontId="2" fillId="2" borderId="0" xfId="0" applyNumberFormat="1" applyFont="1" applyFill="1" applyBorder="1"/>
    <xf numFmtId="164" fontId="0" fillId="2" borderId="0" xfId="0" applyNumberFormat="1" applyFill="1"/>
    <xf numFmtId="164" fontId="0" fillId="2" borderId="29" xfId="0" applyNumberFormat="1" applyFill="1" applyBorder="1"/>
    <xf numFmtId="164" fontId="0" fillId="2" borderId="0" xfId="0" applyNumberFormat="1" applyFill="1" applyBorder="1"/>
    <xf numFmtId="164" fontId="2" fillId="2" borderId="1" xfId="0" applyNumberFormat="1" applyFont="1" applyFill="1" applyBorder="1"/>
    <xf numFmtId="164" fontId="7" fillId="2" borderId="14" xfId="0" applyNumberFormat="1" applyFont="1" applyFill="1" applyBorder="1"/>
    <xf numFmtId="164" fontId="7" fillId="2" borderId="25" xfId="0" applyNumberFormat="1" applyFont="1" applyFill="1" applyBorder="1"/>
    <xf numFmtId="164" fontId="2" fillId="2" borderId="0" xfId="0" applyNumberFormat="1" applyFont="1" applyFill="1"/>
    <xf numFmtId="164" fontId="0" fillId="2" borderId="18" xfId="0" applyNumberFormat="1" applyFill="1" applyBorder="1"/>
    <xf numFmtId="164" fontId="2" fillId="2" borderId="3" xfId="0" applyNumberFormat="1" applyFont="1" applyFill="1" applyBorder="1"/>
    <xf numFmtId="0" fontId="21" fillId="0" borderId="0" xfId="0" applyFont="1" applyAlignment="1">
      <alignment horizontal="left"/>
    </xf>
    <xf numFmtId="0" fontId="9" fillId="0" borderId="0" xfId="0" applyFont="1" applyAlignment="1">
      <alignment wrapText="1"/>
    </xf>
    <xf numFmtId="0" fontId="23" fillId="6" borderId="0" xfId="0" applyFont="1" applyFill="1"/>
    <xf numFmtId="164" fontId="0" fillId="0" borderId="0" xfId="0" applyNumberFormat="1" applyFill="1" applyBorder="1"/>
    <xf numFmtId="2" fontId="25" fillId="0" borderId="0" xfId="0" applyNumberFormat="1" applyFont="1" applyFill="1" applyBorder="1"/>
    <xf numFmtId="2" fontId="0" fillId="0" borderId="1" xfId="0" applyNumberFormat="1" applyFill="1" applyBorder="1"/>
    <xf numFmtId="2" fontId="7" fillId="0" borderId="5" xfId="0" applyNumberFormat="1" applyFont="1" applyFill="1" applyBorder="1"/>
    <xf numFmtId="2" fontId="2" fillId="0" borderId="1" xfId="0" applyNumberFormat="1" applyFont="1" applyFill="1" applyBorder="1"/>
    <xf numFmtId="2" fontId="0" fillId="0" borderId="3" xfId="0" applyNumberFormat="1" applyFill="1" applyBorder="1"/>
    <xf numFmtId="2" fontId="0" fillId="0" borderId="1" xfId="0" applyNumberFormat="1" applyFont="1" applyFill="1" applyBorder="1"/>
    <xf numFmtId="2" fontId="3" fillId="0" borderId="1" xfId="0" applyNumberFormat="1" applyFont="1" applyFill="1" applyBorder="1"/>
    <xf numFmtId="164" fontId="19" fillId="0" borderId="0" xfId="0" applyNumberFormat="1" applyFont="1"/>
    <xf numFmtId="164" fontId="19" fillId="0" borderId="0" xfId="0" applyNumberFormat="1" applyFont="1" applyFill="1" applyBorder="1"/>
    <xf numFmtId="164" fontId="19" fillId="9" borderId="0" xfId="0" applyNumberFormat="1" applyFont="1" applyFill="1"/>
    <xf numFmtId="2" fontId="7" fillId="0" borderId="31" xfId="0" applyNumberFormat="1" applyFont="1" applyFill="1" applyBorder="1"/>
    <xf numFmtId="164" fontId="19" fillId="10" borderId="0" xfId="0" applyNumberFormat="1" applyFont="1" applyFill="1"/>
    <xf numFmtId="164" fontId="19" fillId="10" borderId="0" xfId="0" applyNumberFormat="1" applyFont="1" applyFill="1" applyBorder="1"/>
    <xf numFmtId="165" fontId="0" fillId="7" borderId="0" xfId="0" applyNumberFormat="1" applyFill="1"/>
    <xf numFmtId="2" fontId="0" fillId="7" borderId="27" xfId="0" applyNumberFormat="1" applyFill="1" applyBorder="1"/>
    <xf numFmtId="0" fontId="23" fillId="0" borderId="0" xfId="0" applyFont="1" applyFill="1"/>
    <xf numFmtId="164" fontId="19" fillId="9" borderId="0" xfId="0" applyNumberFormat="1" applyFont="1" applyFill="1" applyBorder="1"/>
    <xf numFmtId="0" fontId="0" fillId="6" borderId="0" xfId="0" applyFill="1" applyBorder="1"/>
    <xf numFmtId="2" fontId="25" fillId="0" borderId="32" xfId="0" applyNumberFormat="1" applyFont="1" applyFill="1" applyBorder="1"/>
    <xf numFmtId="2" fontId="7" fillId="0" borderId="6" xfId="0" applyNumberFormat="1" applyFont="1" applyFill="1" applyBorder="1"/>
    <xf numFmtId="164" fontId="7" fillId="0" borderId="6" xfId="0" applyNumberFormat="1" applyFont="1" applyFill="1" applyBorder="1"/>
    <xf numFmtId="2" fontId="7" fillId="0" borderId="14" xfId="0" applyNumberFormat="1" applyFont="1" applyFill="1" applyBorder="1"/>
    <xf numFmtId="165" fontId="0" fillId="2" borderId="0" xfId="0" applyNumberFormat="1" applyFill="1"/>
    <xf numFmtId="165" fontId="0" fillId="7" borderId="18" xfId="0" applyNumberFormat="1" applyFill="1" applyBorder="1"/>
    <xf numFmtId="164" fontId="25" fillId="10" borderId="0" xfId="0" applyNumberFormat="1" applyFont="1" applyFill="1" applyBorder="1"/>
    <xf numFmtId="2" fontId="25" fillId="10" borderId="0" xfId="0" applyNumberFormat="1" applyFont="1" applyFill="1" applyBorder="1"/>
    <xf numFmtId="164" fontId="25" fillId="10" borderId="0" xfId="0" applyNumberFormat="1" applyFont="1" applyFill="1"/>
    <xf numFmtId="164" fontId="19" fillId="0" borderId="0" xfId="0" applyNumberFormat="1" applyFont="1" applyFill="1"/>
    <xf numFmtId="2" fontId="7" fillId="0" borderId="0" xfId="0" applyNumberFormat="1" applyFont="1" applyFill="1" applyBorder="1"/>
    <xf numFmtId="2" fontId="0" fillId="0" borderId="0" xfId="0" applyNumberFormat="1" applyFont="1" applyFill="1" applyBorder="1"/>
    <xf numFmtId="2" fontId="3" fillId="0" borderId="0" xfId="0" applyNumberFormat="1" applyFont="1" applyFill="1" applyBorder="1"/>
    <xf numFmtId="2" fontId="7" fillId="2" borderId="8" xfId="0" applyNumberFormat="1" applyFont="1" applyFill="1" applyBorder="1"/>
    <xf numFmtId="164" fontId="7" fillId="2" borderId="0" xfId="0" applyNumberFormat="1" applyFont="1" applyFill="1" applyBorder="1"/>
    <xf numFmtId="2" fontId="0" fillId="7" borderId="6" xfId="0" applyNumberFormat="1" applyFill="1" applyBorder="1"/>
    <xf numFmtId="165" fontId="0" fillId="7" borderId="6" xfId="0" applyNumberFormat="1" applyFill="1" applyBorder="1"/>
    <xf numFmtId="2" fontId="0" fillId="7" borderId="25" xfId="0" applyNumberFormat="1" applyFill="1" applyBorder="1"/>
    <xf numFmtId="0" fontId="0" fillId="6" borderId="18" xfId="0" applyFill="1" applyBorder="1"/>
    <xf numFmtId="164" fontId="7" fillId="7" borderId="6" xfId="0" applyNumberFormat="1" applyFont="1" applyFill="1" applyBorder="1"/>
    <xf numFmtId="0" fontId="0" fillId="0" borderId="0" xfId="0" applyFont="1"/>
    <xf numFmtId="2" fontId="0" fillId="5" borderId="0" xfId="0" applyNumberFormat="1" applyFont="1" applyFill="1" applyProtection="1">
      <protection locked="0"/>
    </xf>
    <xf numFmtId="164" fontId="0" fillId="2" borderId="0" xfId="0" applyNumberFormat="1" applyFont="1" applyFill="1"/>
    <xf numFmtId="164" fontId="0" fillId="2" borderId="18" xfId="0" applyNumberFormat="1" applyFont="1" applyFill="1" applyBorder="1"/>
    <xf numFmtId="2" fontId="0" fillId="11" borderId="1" xfId="0" applyNumberFormat="1" applyFill="1" applyBorder="1"/>
    <xf numFmtId="2" fontId="0" fillId="11" borderId="0" xfId="0" applyNumberFormat="1" applyFill="1"/>
    <xf numFmtId="2" fontId="2" fillId="11" borderId="1" xfId="0" applyNumberFormat="1" applyFont="1" applyFill="1" applyBorder="1"/>
    <xf numFmtId="2" fontId="0" fillId="12" borderId="1" xfId="0" applyNumberFormat="1" applyFill="1" applyBorder="1"/>
    <xf numFmtId="2" fontId="0" fillId="13" borderId="1" xfId="0" applyNumberFormat="1" applyFill="1" applyBorder="1"/>
    <xf numFmtId="2" fontId="2" fillId="12" borderId="0" xfId="0" applyNumberFormat="1" applyFont="1" applyFill="1" applyBorder="1"/>
    <xf numFmtId="2" fontId="2" fillId="12" borderId="0" xfId="0" applyNumberFormat="1" applyFont="1" applyFill="1"/>
    <xf numFmtId="2" fontId="0" fillId="13" borderId="1" xfId="0" applyNumberFormat="1" applyFont="1" applyFill="1" applyBorder="1"/>
    <xf numFmtId="2" fontId="0" fillId="14" borderId="1" xfId="0" applyNumberFormat="1" applyFont="1" applyFill="1" applyBorder="1"/>
    <xf numFmtId="2" fontId="0" fillId="2" borderId="1" xfId="0" applyNumberFormat="1" applyFont="1" applyFill="1" applyBorder="1"/>
    <xf numFmtId="2" fontId="0" fillId="2" borderId="22" xfId="0" applyNumberFormat="1" applyFont="1" applyFill="1" applyBorder="1"/>
    <xf numFmtId="2" fontId="0" fillId="5" borderId="0" xfId="0" applyNumberFormat="1" applyFont="1" applyFill="1" applyProtection="1" quotePrefix="1">
      <protection locked="0"/>
    </xf>
    <xf numFmtId="0" fontId="0" fillId="0" borderId="0" xfId="0" applyFont="1" applyFill="1" applyAlignment="1">
      <alignment horizontal="right"/>
    </xf>
    <xf numFmtId="2" fontId="26" fillId="11" borderId="1" xfId="0" applyNumberFormat="1" applyFont="1" applyFill="1" applyBorder="1"/>
    <xf numFmtId="2" fontId="26" fillId="13" borderId="1" xfId="0" applyNumberFormat="1" applyFont="1" applyFill="1" applyBorder="1"/>
    <xf numFmtId="2" fontId="23" fillId="12" borderId="1" xfId="0" applyNumberFormat="1" applyFont="1" applyFill="1" applyBorder="1" quotePrefix="1"/>
    <xf numFmtId="2" fontId="23" fillId="12" borderId="1" xfId="0" applyNumberFormat="1" applyFont="1" applyFill="1" applyBorder="1"/>
    <xf numFmtId="2" fontId="28" fillId="11" borderId="1" xfId="0" applyNumberFormat="1" applyFont="1" applyFill="1" applyBorder="1"/>
    <xf numFmtId="2" fontId="23" fillId="7" borderId="1" xfId="0" applyNumberFormat="1" applyFont="1" applyFill="1" applyBorder="1"/>
    <xf numFmtId="2" fontId="2" fillId="6" borderId="0" xfId="0" applyNumberFormat="1" applyFont="1" applyFill="1" applyBorder="1"/>
    <xf numFmtId="164" fontId="2" fillId="0" borderId="0" xfId="0" applyNumberFormat="1" applyFont="1" applyFill="1" applyBorder="1"/>
    <xf numFmtId="2" fontId="7" fillId="12" borderId="33" xfId="0" applyNumberFormat="1" applyFont="1" applyFill="1" applyBorder="1"/>
    <xf numFmtId="2" fontId="0" fillId="12" borderId="22" xfId="0" applyNumberFormat="1" applyFill="1" applyBorder="1"/>
    <xf numFmtId="2" fontId="0" fillId="12" borderId="23" xfId="0" applyNumberFormat="1" applyFill="1" applyBorder="1"/>
    <xf numFmtId="2" fontId="7" fillId="12" borderId="2" xfId="0" applyNumberFormat="1" applyFont="1" applyFill="1" applyBorder="1"/>
    <xf numFmtId="2" fontId="2" fillId="12" borderId="1" xfId="0" applyNumberFormat="1" applyFont="1" applyFill="1" applyBorder="1"/>
    <xf numFmtId="2" fontId="0" fillId="12" borderId="3" xfId="0" applyNumberFormat="1" applyFill="1" applyBorder="1"/>
    <xf numFmtId="2" fontId="7" fillId="12" borderId="1" xfId="0" applyNumberFormat="1" applyFont="1" applyFill="1" applyBorder="1"/>
    <xf numFmtId="2" fontId="0" fillId="12" borderId="0" xfId="0" applyNumberFormat="1" applyFill="1" applyBorder="1"/>
    <xf numFmtId="2" fontId="7" fillId="12" borderId="5" xfId="0" applyNumberFormat="1" applyFont="1" applyFill="1" applyBorder="1"/>
    <xf numFmtId="1" fontId="8" fillId="6" borderId="0" xfId="0" applyNumberFormat="1" applyFont="1" applyFill="1"/>
    <xf numFmtId="1" fontId="7" fillId="2" borderId="5" xfId="0" applyNumberFormat="1" applyFont="1" applyFill="1" applyBorder="1"/>
    <xf numFmtId="164" fontId="29" fillId="0" borderId="0" xfId="0" applyNumberFormat="1" applyFont="1"/>
    <xf numFmtId="164" fontId="0" fillId="0" borderId="0" xfId="0" applyNumberFormat="1" applyFont="1"/>
    <xf numFmtId="164" fontId="2" fillId="0" borderId="0" xfId="0" applyNumberFormat="1" applyFont="1"/>
    <xf numFmtId="164" fontId="3" fillId="0" borderId="0" xfId="0" applyNumberFormat="1" applyFont="1"/>
    <xf numFmtId="164" fontId="0" fillId="0" borderId="8" xfId="0" applyNumberFormat="1" applyFont="1" applyBorder="1"/>
    <xf numFmtId="164" fontId="8" fillId="0" borderId="8" xfId="0" applyNumberFormat="1" applyFont="1" applyBorder="1"/>
    <xf numFmtId="2" fontId="0" fillId="12" borderId="1" xfId="0" applyNumberFormat="1" applyFont="1" applyFill="1" applyBorder="1"/>
    <xf numFmtId="164" fontId="19" fillId="0" borderId="0" xfId="0" applyNumberFormat="1" applyFont="1" applyFill="1" applyBorder="1"/>
    <xf numFmtId="2" fontId="28" fillId="0" borderId="1" xfId="0" applyNumberFormat="1" applyFont="1" applyFill="1" applyBorder="1"/>
    <xf numFmtId="2" fontId="23" fillId="0" borderId="1" xfId="0" applyNumberFormat="1" applyFont="1" applyFill="1" applyBorder="1"/>
    <xf numFmtId="2" fontId="23" fillId="0" borderId="1" xfId="0" applyNumberFormat="1" applyFont="1" applyFill="1" applyBorder="1" quotePrefix="1"/>
    <xf numFmtId="0" fontId="0" fillId="14" borderId="0" xfId="0" applyFill="1"/>
    <xf numFmtId="2" fontId="0" fillId="13" borderId="0" xfId="0" applyNumberFormat="1" applyFill="1"/>
    <xf numFmtId="2" fontId="0" fillId="12" borderId="0" xfId="0" applyNumberFormat="1" applyFill="1"/>
    <xf numFmtId="2" fontId="0" fillId="12" borderId="18" xfId="0" applyNumberFormat="1" applyFill="1" applyBorder="1"/>
    <xf numFmtId="2" fontId="0" fillId="12" borderId="0" xfId="0" applyNumberFormat="1" applyFont="1" applyFill="1" applyBorder="1"/>
    <xf numFmtId="2" fontId="2" fillId="12" borderId="3" xfId="0" applyNumberFormat="1" applyFont="1" applyFill="1" applyBorder="1"/>
    <xf numFmtId="2" fontId="0" fillId="14" borderId="0" xfId="0" applyNumberFormat="1" applyFill="1"/>
    <xf numFmtId="2" fontId="2" fillId="14" borderId="1" xfId="0" applyNumberFormat="1" applyFont="1" applyFill="1" applyBorder="1"/>
    <xf numFmtId="2" fontId="2" fillId="13" borderId="1" xfId="0" applyNumberFormat="1" applyFont="1" applyFill="1" applyBorder="1"/>
    <xf numFmtId="2" fontId="0" fillId="7" borderId="1" xfId="0" applyNumberFormat="1" applyFont="1" applyFill="1" applyBorder="1"/>
    <xf numFmtId="164" fontId="0" fillId="14" borderId="0" xfId="0" applyNumberFormat="1" applyFill="1"/>
    <xf numFmtId="164" fontId="0" fillId="2" borderId="27" xfId="0" applyNumberFormat="1" applyFill="1" applyBorder="1"/>
    <xf numFmtId="0" fontId="6" fillId="0" borderId="0" xfId="0" applyFont="1"/>
    <xf numFmtId="1" fontId="7" fillId="0" borderId="0" xfId="0" applyNumberFormat="1" applyFont="1"/>
    <xf numFmtId="2" fontId="8" fillId="0" borderId="0" xfId="0" applyNumberFormat="1" applyFont="1"/>
    <xf numFmtId="2" fontId="8" fillId="0" borderId="0" xfId="0" applyNumberFormat="1" applyFont="1" applyFill="1"/>
    <xf numFmtId="2" fontId="2" fillId="0" borderId="34" xfId="0" applyNumberFormat="1" applyFont="1" applyBorder="1"/>
    <xf numFmtId="2" fontId="0" fillId="7" borderId="0" xfId="0" applyNumberFormat="1" applyFont="1" applyFill="1"/>
    <xf numFmtId="2" fontId="0" fillId="7" borderId="0" xfId="0" applyNumberFormat="1" applyFont="1" applyFill="1" applyBorder="1"/>
    <xf numFmtId="2" fontId="0" fillId="7" borderId="27" xfId="0" applyNumberFormat="1" applyFont="1" applyFill="1" applyBorder="1"/>
    <xf numFmtId="2" fontId="0" fillId="7" borderId="18" xfId="0" applyNumberFormat="1" applyFont="1" applyFill="1" applyBorder="1"/>
    <xf numFmtId="2" fontId="2" fillId="14" borderId="0" xfId="0" applyNumberFormat="1" applyFont="1" applyFill="1"/>
    <xf numFmtId="0" fontId="0" fillId="15" borderId="0" xfId="0" applyFill="1"/>
    <xf numFmtId="0" fontId="0" fillId="15" borderId="0" xfId="0" applyFont="1" applyFill="1"/>
    <xf numFmtId="2" fontId="0" fillId="13" borderId="1" xfId="0" applyNumberFormat="1" applyFont="1" applyFill="1" applyBorder="1"/>
    <xf numFmtId="2" fontId="2" fillId="12" borderId="0" xfId="0" applyNumberFormat="1" applyFont="1" applyFill="1" applyAlignment="1">
      <alignment horizontal="center"/>
    </xf>
    <xf numFmtId="2" fontId="0" fillId="14" borderId="1" xfId="0" applyNumberFormat="1" applyFill="1" applyBorder="1"/>
    <xf numFmtId="2" fontId="0" fillId="14" borderId="0" xfId="0" applyNumberFormat="1" applyFill="1" applyBorder="1"/>
    <xf numFmtId="2" fontId="0" fillId="14" borderId="0" xfId="0" applyNumberFormat="1" applyFill="1" applyProtection="1">
      <protection locked="0"/>
    </xf>
    <xf numFmtId="164" fontId="0" fillId="14" borderId="0" xfId="0" applyNumberFormat="1" applyFont="1" applyFill="1" applyBorder="1"/>
    <xf numFmtId="0" fontId="0" fillId="14" borderId="0" xfId="0" applyFill="1" applyBorder="1"/>
    <xf numFmtId="2" fontId="2" fillId="14" borderId="0" xfId="0" applyNumberFormat="1" applyFont="1" applyFill="1" applyBorder="1"/>
    <xf numFmtId="2" fontId="6" fillId="14" borderId="0" xfId="0" applyNumberFormat="1" applyFont="1" applyFill="1"/>
    <xf numFmtId="164" fontId="6" fillId="14" borderId="0" xfId="0" applyNumberFormat="1" applyFont="1" applyFill="1"/>
    <xf numFmtId="0" fontId="0" fillId="0" borderId="35" xfId="0" applyBorder="1" applyAlignment="1">
      <alignment/>
    </xf>
    <xf numFmtId="0" fontId="0" fillId="0" borderId="36" xfId="0" applyBorder="1" applyAlignment="1">
      <alignment/>
    </xf>
    <xf numFmtId="0" fontId="0" fillId="0" borderId="37" xfId="0" applyBorder="1"/>
    <xf numFmtId="0" fontId="0" fillId="0" borderId="36" xfId="0" applyBorder="1"/>
    <xf numFmtId="0" fontId="0" fillId="0" borderId="35" xfId="0" applyBorder="1"/>
    <xf numFmtId="0" fontId="34" fillId="0" borderId="37" xfId="0" applyFont="1" applyBorder="1" applyAlignment="1">
      <alignment horizontal="center"/>
    </xf>
    <xf numFmtId="0" fontId="34" fillId="0" borderId="38" xfId="0" applyFont="1" applyBorder="1" applyAlignment="1">
      <alignment horizontal="center"/>
    </xf>
    <xf numFmtId="0" fontId="34" fillId="0" borderId="35" xfId="0" applyFont="1" applyBorder="1" applyAlignment="1">
      <alignment horizontal="center"/>
    </xf>
    <xf numFmtId="3" fontId="0" fillId="0" borderId="0" xfId="0" applyNumberFormat="1" applyBorder="1" applyAlignment="1">
      <alignment horizontal="center"/>
    </xf>
    <xf numFmtId="3" fontId="31" fillId="0" borderId="0" xfId="0" applyNumberFormat="1" applyFont="1" applyBorder="1" applyAlignment="1">
      <alignment horizontal="center"/>
    </xf>
    <xf numFmtId="4" fontId="0" fillId="0" borderId="0" xfId="0" applyNumberFormat="1" applyBorder="1" applyAlignment="1">
      <alignment horizontal="center"/>
    </xf>
    <xf numFmtId="49" fontId="0" fillId="0" borderId="34" xfId="0" applyNumberFormat="1" applyBorder="1"/>
    <xf numFmtId="1" fontId="0" fillId="0" borderId="34" xfId="0" applyNumberFormat="1" applyBorder="1" applyAlignment="1">
      <alignment horizontal="center"/>
    </xf>
    <xf numFmtId="1" fontId="0" fillId="0" borderId="39" xfId="0" applyNumberFormat="1" applyBorder="1" applyAlignment="1">
      <alignment horizontal="center"/>
    </xf>
    <xf numFmtId="3" fontId="0" fillId="0" borderId="0" xfId="0" applyNumberFormat="1" applyFont="1" applyBorder="1" applyAlignment="1">
      <alignment horizontal="center"/>
    </xf>
    <xf numFmtId="166" fontId="0" fillId="0" borderId="0" xfId="0" applyNumberFormat="1" applyBorder="1" applyAlignment="1">
      <alignment horizontal="center"/>
    </xf>
    <xf numFmtId="49" fontId="0" fillId="0" borderId="10" xfId="0" applyNumberFormat="1" applyBorder="1"/>
    <xf numFmtId="1" fontId="0" fillId="0" borderId="0" xfId="0" applyNumberFormat="1" applyBorder="1"/>
    <xf numFmtId="0" fontId="0" fillId="0" borderId="0" xfId="0" applyNumberFormat="1" applyBorder="1" applyAlignment="1">
      <alignment horizontal="center"/>
    </xf>
    <xf numFmtId="0" fontId="0" fillId="0" borderId="0" xfId="0" applyNumberFormat="1" applyBorder="1" applyAlignment="1">
      <alignment horizontal="left" indent="2"/>
    </xf>
    <xf numFmtId="0" fontId="0" fillId="0" borderId="0" xfId="0" applyNumberFormat="1" applyAlignment="1">
      <alignment horizontal="center"/>
    </xf>
    <xf numFmtId="0" fontId="0" fillId="0" borderId="0" xfId="0" applyNumberFormat="1" applyBorder="1"/>
    <xf numFmtId="49" fontId="35" fillId="0" borderId="0" xfId="0" applyNumberFormat="1" applyFont="1" applyFill="1" applyBorder="1"/>
    <xf numFmtId="3" fontId="0" fillId="0" borderId="0" xfId="0" applyNumberFormat="1" applyBorder="1"/>
    <xf numFmtId="3" fontId="0" fillId="0" borderId="0" xfId="0" applyNumberFormat="1" applyAlignment="1">
      <alignment horizontal="center"/>
    </xf>
    <xf numFmtId="49" fontId="0" fillId="0" borderId="0" xfId="0" applyNumberFormat="1"/>
    <xf numFmtId="3" fontId="0" fillId="0" borderId="0" xfId="0" applyNumberFormat="1" applyFont="1" applyBorder="1" applyAlignment="1">
      <alignment horizontal="center"/>
    </xf>
    <xf numFmtId="49" fontId="0" fillId="0" borderId="0" xfId="0" applyNumberFormat="1" applyFont="1"/>
    <xf numFmtId="49" fontId="0" fillId="0" borderId="34" xfId="0" applyNumberFormat="1" applyFont="1" applyBorder="1"/>
    <xf numFmtId="2" fontId="0" fillId="0" borderId="0" xfId="0" applyNumberFormat="1" applyBorder="1" applyAlignment="1">
      <alignment horizontal="center"/>
    </xf>
    <xf numFmtId="3" fontId="34" fillId="0" borderId="38" xfId="0" applyNumberFormat="1" applyFont="1" applyBorder="1" applyAlignment="1">
      <alignment horizontal="center"/>
    </xf>
    <xf numFmtId="3" fontId="0" fillId="0" borderId="0" xfId="0" applyNumberFormat="1"/>
    <xf numFmtId="3" fontId="27" fillId="0" borderId="0" xfId="0" applyNumberFormat="1" applyFont="1" applyBorder="1" applyAlignment="1">
      <alignment horizontal="center" vertical="center" wrapText="1"/>
    </xf>
    <xf numFmtId="3" fontId="34" fillId="0" borderId="20" xfId="0" applyNumberFormat="1" applyFont="1" applyBorder="1" applyAlignment="1">
      <alignment/>
    </xf>
    <xf numFmtId="3" fontId="34" fillId="0" borderId="36" xfId="0" applyNumberFormat="1" applyFont="1" applyBorder="1" applyAlignment="1">
      <alignment/>
    </xf>
    <xf numFmtId="0" fontId="23" fillId="0" borderId="40" xfId="0" applyFont="1" applyBorder="1" applyAlignment="1">
      <alignment horizontal="center"/>
    </xf>
    <xf numFmtId="2" fontId="23" fillId="0" borderId="41" xfId="0" applyNumberFormat="1" applyFont="1" applyBorder="1" applyAlignment="1">
      <alignment horizontal="center"/>
    </xf>
    <xf numFmtId="3" fontId="23" fillId="0" borderId="41" xfId="0" applyNumberFormat="1" applyFont="1" applyBorder="1" applyAlignment="1">
      <alignment horizontal="center"/>
    </xf>
    <xf numFmtId="0" fontId="23" fillId="0" borderId="42" xfId="0" applyFont="1" applyFill="1" applyBorder="1" applyAlignment="1">
      <alignment horizontal="center"/>
    </xf>
    <xf numFmtId="0" fontId="23" fillId="0" borderId="40" xfId="0" applyFont="1" applyFill="1" applyBorder="1" applyAlignment="1">
      <alignment horizontal="center"/>
    </xf>
    <xf numFmtId="0" fontId="23" fillId="0" borderId="41" xfId="0" applyFont="1" applyFill="1" applyBorder="1" applyAlignment="1">
      <alignment horizontal="center"/>
    </xf>
    <xf numFmtId="165" fontId="0" fillId="0" borderId="0" xfId="0" applyNumberFormat="1" applyBorder="1" applyAlignment="1">
      <alignment horizontal="center"/>
    </xf>
    <xf numFmtId="165" fontId="0" fillId="0" borderId="0" xfId="0" applyNumberFormat="1"/>
    <xf numFmtId="2" fontId="27" fillId="0" borderId="0" xfId="0" applyNumberFormat="1" applyFont="1" applyBorder="1" applyAlignment="1">
      <alignment vertical="center" wrapText="1"/>
    </xf>
    <xf numFmtId="0" fontId="0" fillId="0" borderId="19" xfId="0" applyBorder="1" applyAlignment="1">
      <alignment horizontal="center"/>
    </xf>
    <xf numFmtId="3" fontId="27" fillId="0" borderId="0" xfId="0" applyNumberFormat="1" applyFont="1" applyBorder="1" applyAlignment="1">
      <alignment horizontal="center" vertical="center" wrapText="1"/>
    </xf>
    <xf numFmtId="0" fontId="32" fillId="0" borderId="43" xfId="0" applyFont="1" applyBorder="1" applyAlignment="1">
      <alignment horizontal="center"/>
    </xf>
    <xf numFmtId="2" fontId="23" fillId="0" borderId="38" xfId="0" applyNumberFormat="1" applyFont="1" applyBorder="1" applyAlignment="1">
      <alignment horizontal="center" vertical="center"/>
    </xf>
    <xf numFmtId="2" fontId="23" fillId="0" borderId="41" xfId="0" applyNumberFormat="1" applyFont="1" applyBorder="1" applyAlignment="1">
      <alignment horizontal="center" vertical="center"/>
    </xf>
    <xf numFmtId="0" fontId="34" fillId="0" borderId="36" xfId="0" applyFont="1" applyBorder="1" applyAlignment="1">
      <alignment horizontal="center"/>
    </xf>
    <xf numFmtId="3" fontId="23" fillId="0" borderId="38" xfId="0" applyNumberFormat="1" applyFont="1" applyBorder="1" applyAlignment="1">
      <alignment horizontal="center" vertical="center"/>
    </xf>
    <xf numFmtId="3" fontId="23" fillId="0" borderId="41" xfId="0" applyNumberFormat="1" applyFont="1" applyBorder="1" applyAlignment="1">
      <alignment horizontal="center" vertical="center"/>
    </xf>
    <xf numFmtId="2" fontId="27" fillId="0" borderId="0" xfId="0" applyNumberFormat="1" applyFont="1" applyBorder="1" applyAlignment="1">
      <alignment horizontal="center" vertical="center" wrapText="1"/>
    </xf>
    <xf numFmtId="0" fontId="23" fillId="0" borderId="41" xfId="0" applyFont="1" applyBorder="1" applyAlignment="1">
      <alignment horizontal="center"/>
    </xf>
    <xf numFmtId="1" fontId="0" fillId="0" borderId="0" xfId="0" applyNumberFormat="1" applyBorder="1" applyAlignment="1">
      <alignment horizontal="center"/>
    </xf>
    <xf numFmtId="0" fontId="23" fillId="0" borderId="44" xfId="0" applyFont="1" applyBorder="1" applyAlignment="1">
      <alignment horizontal="center"/>
    </xf>
    <xf numFmtId="49" fontId="32" fillId="0" borderId="15" xfId="0" applyNumberFormat="1" applyFont="1" applyBorder="1" applyAlignment="1">
      <alignment horizontal="center" vertical="center" wrapText="1"/>
    </xf>
    <xf numFmtId="49" fontId="32" fillId="0" borderId="4" xfId="0" applyNumberFormat="1" applyFont="1" applyBorder="1" applyAlignment="1">
      <alignment horizontal="center" vertical="center" wrapText="1"/>
    </xf>
    <xf numFmtId="2" fontId="0" fillId="16" borderId="0" xfId="0" applyNumberFormat="1" applyFill="1" applyBorder="1" applyAlignment="1">
      <alignment horizontal="center"/>
    </xf>
    <xf numFmtId="1" fontId="0" fillId="16" borderId="0" xfId="0" applyNumberFormat="1" applyFill="1" applyBorder="1" applyAlignment="1">
      <alignment horizontal="center"/>
    </xf>
    <xf numFmtId="2" fontId="0" fillId="16" borderId="0" xfId="0" applyNumberFormat="1" applyFill="1" applyBorder="1"/>
    <xf numFmtId="2" fontId="0" fillId="16" borderId="0" xfId="0" applyNumberFormat="1" applyFill="1" applyAlignment="1">
      <alignment horizontal="center"/>
    </xf>
    <xf numFmtId="2" fontId="0" fillId="16" borderId="0" xfId="0" applyNumberFormat="1" applyFill="1"/>
    <xf numFmtId="164" fontId="0" fillId="16" borderId="0" xfId="0" applyNumberFormat="1" applyFill="1" applyBorder="1" applyAlignment="1">
      <alignment horizontal="center"/>
    </xf>
    <xf numFmtId="2" fontId="0" fillId="0" borderId="0" xfId="0" applyNumberFormat="1" applyBorder="1" applyAlignment="1">
      <alignment horizontal="left" indent="2"/>
    </xf>
    <xf numFmtId="49" fontId="32" fillId="0" borderId="2" xfId="0" applyNumberFormat="1" applyFont="1" applyBorder="1" applyAlignment="1">
      <alignment horizontal="center" vertical="center" wrapText="1"/>
    </xf>
    <xf numFmtId="0" fontId="23" fillId="0" borderId="45" xfId="0" applyFont="1" applyFill="1" applyBorder="1" applyAlignment="1">
      <alignment horizontal="center"/>
    </xf>
    <xf numFmtId="0" fontId="23" fillId="0" borderId="8" xfId="0" applyFont="1" applyBorder="1"/>
    <xf numFmtId="0" fontId="34" fillId="0" borderId="0" xfId="0" applyFont="1" applyBorder="1" applyAlignment="1">
      <alignment horizontal="center"/>
    </xf>
    <xf numFmtId="1" fontId="2" fillId="0" borderId="0" xfId="0" applyNumberFormat="1" applyFont="1" applyBorder="1" applyAlignment="1">
      <alignment horizontal="right"/>
    </xf>
    <xf numFmtId="1" fontId="2" fillId="0" borderId="0" xfId="0" applyNumberFormat="1" applyFont="1" applyFill="1" applyBorder="1" applyAlignment="1">
      <alignment horizontal="right"/>
    </xf>
    <xf numFmtId="2" fontId="2" fillId="16" borderId="0" xfId="0" applyNumberFormat="1" applyFont="1" applyFill="1" applyBorder="1" applyAlignment="1">
      <alignment horizontal="right"/>
    </xf>
    <xf numFmtId="49" fontId="2" fillId="0" borderId="0" xfId="0" applyNumberFormat="1" applyFont="1" applyFill="1" applyBorder="1"/>
    <xf numFmtId="2" fontId="37" fillId="14" borderId="0" xfId="0" applyNumberFormat="1" applyFont="1" applyFill="1" applyBorder="1"/>
    <xf numFmtId="49" fontId="2" fillId="14" borderId="0" xfId="0" applyNumberFormat="1" applyFont="1" applyFill="1" applyBorder="1"/>
    <xf numFmtId="1" fontId="0" fillId="17" borderId="34" xfId="0" applyNumberFormat="1" applyFill="1" applyBorder="1" applyAlignment="1">
      <alignment horizontal="center"/>
    </xf>
    <xf numFmtId="1" fontId="0" fillId="17" borderId="10" xfId="0" applyNumberFormat="1" applyFill="1" applyBorder="1" applyAlignment="1">
      <alignment horizontal="center"/>
    </xf>
    <xf numFmtId="1" fontId="0" fillId="18" borderId="39" xfId="0" applyNumberFormat="1" applyFill="1" applyBorder="1" applyAlignment="1">
      <alignment horizontal="center"/>
    </xf>
    <xf numFmtId="1" fontId="0" fillId="18" borderId="17" xfId="0" applyNumberFormat="1" applyFill="1" applyBorder="1" applyAlignment="1">
      <alignment horizontal="center"/>
    </xf>
    <xf numFmtId="1" fontId="0" fillId="0" borderId="0" xfId="0" applyNumberFormat="1" applyFill="1" applyBorder="1" applyAlignment="1">
      <alignment horizontal="center"/>
    </xf>
    <xf numFmtId="3" fontId="0" fillId="0" borderId="0" xfId="0" applyNumberFormat="1" applyFill="1" applyBorder="1" applyAlignment="1">
      <alignment horizontal="center"/>
    </xf>
    <xf numFmtId="165" fontId="0" fillId="0" borderId="0" xfId="0" applyNumberFormat="1" applyFill="1" applyBorder="1" applyAlignment="1">
      <alignment horizontal="center"/>
    </xf>
    <xf numFmtId="2" fontId="0" fillId="0" borderId="0" xfId="0" applyNumberFormat="1" applyFill="1" applyBorder="1" applyAlignment="1">
      <alignment horizontal="center"/>
    </xf>
    <xf numFmtId="3" fontId="31"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6" fontId="0" fillId="0" borderId="0" xfId="0" applyNumberFormat="1" applyFill="1" applyBorder="1" applyAlignment="1">
      <alignment horizontal="center"/>
    </xf>
    <xf numFmtId="2" fontId="0" fillId="0" borderId="0" xfId="0" applyNumberFormat="1" applyFill="1" applyBorder="1" applyAlignment="1">
      <alignment horizontal="left" indent="2"/>
    </xf>
    <xf numFmtId="4" fontId="0" fillId="0" borderId="0" xfId="0" applyNumberFormat="1" applyFill="1" applyBorder="1" applyAlignment="1">
      <alignment horizontal="center"/>
    </xf>
    <xf numFmtId="3" fontId="0" fillId="0" borderId="0" xfId="0" applyNumberFormat="1" applyFont="1" applyFill="1" applyBorder="1" applyAlignment="1">
      <alignment horizontal="center"/>
    </xf>
    <xf numFmtId="1" fontId="0" fillId="16" borderId="0" xfId="0" applyNumberFormat="1" applyFont="1" applyFill="1" applyBorder="1" applyAlignment="1">
      <alignment horizontal="center"/>
    </xf>
    <xf numFmtId="1" fontId="0" fillId="16" borderId="29" xfId="0" applyNumberFormat="1" applyFont="1" applyFill="1" applyBorder="1" applyAlignment="1">
      <alignment horizontal="center"/>
    </xf>
    <xf numFmtId="1" fontId="0" fillId="16" borderId="1" xfId="0" applyNumberFormat="1" applyFont="1" applyFill="1" applyBorder="1" applyAlignment="1">
      <alignment horizontal="center"/>
    </xf>
    <xf numFmtId="164" fontId="0" fillId="19" borderId="34" xfId="0" applyNumberFormat="1" applyFill="1" applyBorder="1" applyAlignment="1">
      <alignment horizontal="center"/>
    </xf>
    <xf numFmtId="3" fontId="0" fillId="19" borderId="34" xfId="0" applyNumberFormat="1" applyFill="1" applyBorder="1" applyAlignment="1">
      <alignment horizontal="center"/>
    </xf>
    <xf numFmtId="3" fontId="0" fillId="19" borderId="0" xfId="0" applyNumberFormat="1" applyFill="1" applyBorder="1" applyAlignment="1">
      <alignment horizontal="center"/>
    </xf>
    <xf numFmtId="2" fontId="0" fillId="19" borderId="39" xfId="0" applyNumberFormat="1" applyFont="1" applyFill="1" applyBorder="1" applyAlignment="1">
      <alignment horizontal="center"/>
    </xf>
    <xf numFmtId="3" fontId="0" fillId="19" borderId="39" xfId="0" applyNumberFormat="1" applyFill="1" applyBorder="1" applyAlignment="1">
      <alignment horizontal="center"/>
    </xf>
    <xf numFmtId="2" fontId="0" fillId="19" borderId="39" xfId="0" applyNumberFormat="1" applyFill="1" applyBorder="1" applyAlignment="1">
      <alignment horizontal="center"/>
    </xf>
    <xf numFmtId="167" fontId="0" fillId="19" borderId="0" xfId="0" applyNumberFormat="1" applyFill="1" applyBorder="1" applyAlignment="1">
      <alignment horizontal="center"/>
    </xf>
    <xf numFmtId="165" fontId="0" fillId="19" borderId="39" xfId="0" applyNumberFormat="1" applyFill="1" applyBorder="1" applyAlignment="1">
      <alignment horizontal="center"/>
    </xf>
    <xf numFmtId="3" fontId="0" fillId="19" borderId="34" xfId="0" applyNumberFormat="1" applyFont="1" applyFill="1" applyBorder="1" applyAlignment="1">
      <alignment horizontal="center"/>
    </xf>
    <xf numFmtId="1" fontId="0" fillId="19" borderId="0" xfId="0" applyNumberFormat="1" applyFill="1" applyBorder="1" applyAlignment="1">
      <alignment horizontal="center"/>
    </xf>
    <xf numFmtId="1" fontId="0" fillId="19" borderId="39" xfId="0" applyNumberFormat="1" applyFill="1" applyBorder="1" applyAlignment="1">
      <alignment horizontal="center"/>
    </xf>
    <xf numFmtId="3" fontId="0" fillId="19" borderId="0" xfId="0" applyNumberFormat="1" applyFont="1" applyFill="1" applyBorder="1" applyAlignment="1">
      <alignment horizontal="center"/>
    </xf>
    <xf numFmtId="3" fontId="0" fillId="19" borderId="39" xfId="0" applyNumberFormat="1" applyFont="1" applyFill="1" applyBorder="1" applyAlignment="1">
      <alignment horizontal="center"/>
    </xf>
    <xf numFmtId="166" fontId="0" fillId="19" borderId="0" xfId="0" applyNumberFormat="1" applyFill="1" applyBorder="1" applyAlignment="1">
      <alignment horizontal="center"/>
    </xf>
    <xf numFmtId="2" fontId="0" fillId="19" borderId="46" xfId="0" applyNumberFormat="1" applyFill="1" applyBorder="1" applyAlignment="1">
      <alignment horizontal="left" indent="2"/>
    </xf>
    <xf numFmtId="2" fontId="1" fillId="19" borderId="39" xfId="0" applyNumberFormat="1" applyFont="1" applyFill="1" applyBorder="1" applyAlignment="1">
      <alignment horizontal="center"/>
    </xf>
    <xf numFmtId="3" fontId="1" fillId="19" borderId="34" xfId="0" applyNumberFormat="1" applyFont="1" applyFill="1" applyBorder="1" applyAlignment="1">
      <alignment horizontal="center"/>
    </xf>
    <xf numFmtId="3" fontId="31" fillId="19" borderId="0" xfId="0" applyNumberFormat="1" applyFont="1" applyFill="1" applyBorder="1" applyAlignment="1">
      <alignment horizontal="center"/>
    </xf>
    <xf numFmtId="3" fontId="31" fillId="19" borderId="39" xfId="0" applyNumberFormat="1" applyFont="1" applyFill="1" applyBorder="1" applyAlignment="1">
      <alignment horizontal="center"/>
    </xf>
    <xf numFmtId="3" fontId="31" fillId="19" borderId="34" xfId="0" applyNumberFormat="1" applyFont="1" applyFill="1" applyBorder="1" applyAlignment="1">
      <alignment horizontal="center"/>
    </xf>
    <xf numFmtId="3" fontId="29" fillId="19" borderId="34" xfId="0" applyNumberFormat="1" applyFont="1" applyFill="1" applyBorder="1" applyAlignment="1">
      <alignment horizontal="center"/>
    </xf>
    <xf numFmtId="3" fontId="29" fillId="19" borderId="0" xfId="0" applyNumberFormat="1" applyFont="1" applyFill="1" applyBorder="1" applyAlignment="1">
      <alignment horizontal="center"/>
    </xf>
    <xf numFmtId="167" fontId="0" fillId="19" borderId="0" xfId="0" applyNumberFormat="1" applyFont="1" applyFill="1" applyBorder="1" applyAlignment="1">
      <alignment horizontal="center"/>
    </xf>
    <xf numFmtId="165" fontId="0" fillId="19" borderId="39" xfId="0" applyNumberFormat="1" applyFont="1" applyFill="1" applyBorder="1" applyAlignment="1">
      <alignment horizontal="center"/>
    </xf>
    <xf numFmtId="1" fontId="0" fillId="19" borderId="0" xfId="0" applyNumberFormat="1" applyFont="1" applyFill="1" applyBorder="1" applyAlignment="1">
      <alignment horizontal="center"/>
    </xf>
    <xf numFmtId="1" fontId="0" fillId="19" borderId="39" xfId="0" applyNumberFormat="1" applyFont="1" applyFill="1" applyBorder="1" applyAlignment="1">
      <alignment horizontal="center"/>
    </xf>
    <xf numFmtId="3" fontId="0" fillId="19" borderId="0" xfId="0" applyNumberFormat="1" applyFont="1" applyFill="1" applyBorder="1" applyAlignment="1">
      <alignment horizontal="center"/>
    </xf>
    <xf numFmtId="3" fontId="0" fillId="19" borderId="39" xfId="0" applyNumberFormat="1" applyFont="1" applyFill="1" applyBorder="1" applyAlignment="1">
      <alignment horizontal="center"/>
    </xf>
    <xf numFmtId="3" fontId="29" fillId="19" borderId="39" xfId="0" applyNumberFormat="1" applyFont="1" applyFill="1" applyBorder="1" applyAlignment="1">
      <alignment horizontal="center"/>
    </xf>
    <xf numFmtId="3" fontId="0" fillId="19" borderId="8" xfId="0" applyNumberFormat="1" applyFill="1" applyBorder="1" applyAlignment="1">
      <alignment horizontal="center"/>
    </xf>
    <xf numFmtId="165" fontId="0" fillId="19" borderId="17" xfId="0" applyNumberFormat="1" applyFill="1" applyBorder="1" applyAlignment="1">
      <alignment horizontal="center"/>
    </xf>
    <xf numFmtId="3" fontId="0" fillId="19" borderId="10" xfId="0" applyNumberFormat="1" applyFill="1" applyBorder="1" applyAlignment="1">
      <alignment horizontal="center"/>
    </xf>
    <xf numFmtId="1" fontId="0" fillId="19" borderId="8" xfId="0" applyNumberFormat="1" applyFill="1" applyBorder="1" applyAlignment="1">
      <alignment horizontal="center"/>
    </xf>
    <xf numFmtId="1" fontId="0" fillId="19" borderId="17" xfId="0" applyNumberFormat="1" applyFill="1" applyBorder="1" applyAlignment="1">
      <alignment horizontal="center"/>
    </xf>
    <xf numFmtId="3" fontId="0" fillId="19" borderId="17" xfId="0" applyNumberFormat="1" applyFill="1" applyBorder="1" applyAlignment="1">
      <alignment horizontal="center"/>
    </xf>
    <xf numFmtId="3" fontId="31" fillId="19" borderId="8" xfId="0" applyNumberFormat="1" applyFont="1" applyFill="1" applyBorder="1" applyAlignment="1">
      <alignment horizontal="center"/>
    </xf>
    <xf numFmtId="3" fontId="31" fillId="19" borderId="17" xfId="0" applyNumberFormat="1" applyFont="1" applyFill="1" applyBorder="1" applyAlignment="1">
      <alignment horizontal="center"/>
    </xf>
    <xf numFmtId="3" fontId="0" fillId="19" borderId="8" xfId="0" applyNumberFormat="1" applyFont="1" applyFill="1" applyBorder="1" applyAlignment="1">
      <alignment horizontal="center"/>
    </xf>
    <xf numFmtId="3" fontId="0" fillId="19" borderId="17" xfId="0" applyNumberFormat="1" applyFont="1" applyFill="1" applyBorder="1" applyAlignment="1">
      <alignment horizontal="center"/>
    </xf>
    <xf numFmtId="166" fontId="0" fillId="19" borderId="8" xfId="0" applyNumberFormat="1" applyFill="1" applyBorder="1" applyAlignment="1">
      <alignment horizontal="center"/>
    </xf>
    <xf numFmtId="2" fontId="0" fillId="19" borderId="47" xfId="0" applyNumberFormat="1" applyFill="1" applyBorder="1" applyAlignment="1">
      <alignment horizontal="left" indent="2"/>
    </xf>
    <xf numFmtId="164" fontId="0" fillId="20" borderId="34" xfId="0" applyNumberFormat="1" applyFill="1" applyBorder="1" applyAlignment="1">
      <alignment horizontal="center"/>
    </xf>
    <xf numFmtId="3" fontId="0" fillId="20" borderId="34" xfId="0" applyNumberFormat="1" applyFill="1" applyBorder="1" applyAlignment="1">
      <alignment horizontal="center"/>
    </xf>
    <xf numFmtId="3" fontId="0" fillId="20" borderId="0" xfId="0" applyNumberFormat="1" applyFill="1" applyBorder="1" applyAlignment="1">
      <alignment horizontal="center"/>
    </xf>
    <xf numFmtId="2" fontId="0" fillId="20" borderId="39" xfId="0" applyNumberFormat="1" applyFill="1" applyBorder="1" applyAlignment="1">
      <alignment horizontal="center"/>
    </xf>
    <xf numFmtId="3" fontId="0" fillId="20" borderId="39" xfId="0" applyNumberFormat="1" applyFill="1" applyBorder="1" applyAlignment="1">
      <alignment horizontal="center"/>
    </xf>
    <xf numFmtId="3" fontId="0" fillId="20" borderId="34" xfId="0" applyNumberFormat="1" applyFont="1" applyFill="1" applyBorder="1" applyAlignment="1">
      <alignment horizontal="center"/>
    </xf>
    <xf numFmtId="167" fontId="0" fillId="20" borderId="0" xfId="0" applyNumberFormat="1" applyFill="1" applyBorder="1" applyAlignment="1">
      <alignment horizontal="center"/>
    </xf>
    <xf numFmtId="165" fontId="0" fillId="20" borderId="39" xfId="0" applyNumberFormat="1" applyFill="1" applyBorder="1" applyAlignment="1">
      <alignment horizontal="center"/>
    </xf>
    <xf numFmtId="1" fontId="0" fillId="20" borderId="0" xfId="0" applyNumberFormat="1" applyFill="1" applyBorder="1" applyAlignment="1">
      <alignment horizontal="center"/>
    </xf>
    <xf numFmtId="1" fontId="0" fillId="20" borderId="39" xfId="0" applyNumberFormat="1" applyFill="1" applyBorder="1" applyAlignment="1">
      <alignment horizontal="center"/>
    </xf>
    <xf numFmtId="3" fontId="31" fillId="20" borderId="0" xfId="0" applyNumberFormat="1" applyFont="1" applyFill="1" applyBorder="1" applyAlignment="1">
      <alignment horizontal="center"/>
    </xf>
    <xf numFmtId="3" fontId="31" fillId="20" borderId="39" xfId="0" applyNumberFormat="1" applyFont="1" applyFill="1" applyBorder="1" applyAlignment="1">
      <alignment horizontal="center"/>
    </xf>
    <xf numFmtId="166" fontId="0" fillId="20" borderId="0" xfId="0" applyNumberFormat="1" applyFill="1" applyBorder="1" applyAlignment="1">
      <alignment horizontal="center"/>
    </xf>
    <xf numFmtId="2" fontId="0" fillId="20" borderId="46" xfId="0" applyNumberFormat="1" applyFill="1" applyBorder="1" applyAlignment="1">
      <alignment horizontal="left" indent="2"/>
    </xf>
    <xf numFmtId="2" fontId="0" fillId="20" borderId="39" xfId="0" applyNumberFormat="1" applyFont="1" applyFill="1" applyBorder="1" applyAlignment="1">
      <alignment horizontal="center"/>
    </xf>
    <xf numFmtId="164" fontId="0" fillId="21" borderId="34" xfId="0" applyNumberFormat="1" applyFill="1" applyBorder="1" applyAlignment="1">
      <alignment horizontal="center"/>
    </xf>
    <xf numFmtId="3" fontId="0" fillId="21" borderId="34" xfId="0" applyNumberFormat="1" applyFill="1" applyBorder="1" applyAlignment="1">
      <alignment horizontal="center"/>
    </xf>
    <xf numFmtId="3" fontId="0" fillId="21" borderId="0" xfId="0" applyNumberFormat="1" applyFill="1" applyBorder="1" applyAlignment="1">
      <alignment horizontal="center"/>
    </xf>
    <xf numFmtId="2" fontId="0" fillId="21" borderId="39" xfId="0" applyNumberFormat="1" applyFill="1" applyBorder="1" applyAlignment="1">
      <alignment horizontal="center"/>
    </xf>
    <xf numFmtId="3" fontId="0" fillId="21" borderId="39" xfId="0" applyNumberFormat="1" applyFill="1" applyBorder="1" applyAlignment="1">
      <alignment horizontal="center"/>
    </xf>
    <xf numFmtId="3" fontId="0" fillId="21" borderId="34" xfId="0" applyNumberFormat="1" applyFont="1" applyFill="1" applyBorder="1" applyAlignment="1">
      <alignment horizontal="center"/>
    </xf>
    <xf numFmtId="167" fontId="0" fillId="21" borderId="0" xfId="0" applyNumberFormat="1" applyFill="1" applyBorder="1" applyAlignment="1">
      <alignment horizontal="center"/>
    </xf>
    <xf numFmtId="165" fontId="0" fillId="21" borderId="39" xfId="0" applyNumberFormat="1" applyFill="1" applyBorder="1" applyAlignment="1">
      <alignment horizontal="center"/>
    </xf>
    <xf numFmtId="1" fontId="0" fillId="21" borderId="0" xfId="0" applyNumberFormat="1" applyFill="1" applyBorder="1" applyAlignment="1">
      <alignment horizontal="center"/>
    </xf>
    <xf numFmtId="1" fontId="0" fillId="21" borderId="39" xfId="0" applyNumberFormat="1" applyFill="1" applyBorder="1" applyAlignment="1">
      <alignment horizontal="center"/>
    </xf>
    <xf numFmtId="3" fontId="31" fillId="21" borderId="0" xfId="0" applyNumberFormat="1" applyFont="1" applyFill="1" applyBorder="1" applyAlignment="1">
      <alignment horizontal="center"/>
    </xf>
    <xf numFmtId="3" fontId="31" fillId="21" borderId="39" xfId="0" applyNumberFormat="1" applyFont="1" applyFill="1" applyBorder="1" applyAlignment="1">
      <alignment horizontal="center"/>
    </xf>
    <xf numFmtId="166" fontId="0" fillId="21" borderId="0" xfId="0" applyNumberFormat="1" applyFill="1" applyBorder="1" applyAlignment="1">
      <alignment horizontal="center"/>
    </xf>
    <xf numFmtId="2" fontId="0" fillId="21" borderId="46" xfId="0" applyNumberFormat="1" applyFill="1" applyBorder="1" applyAlignment="1">
      <alignment horizontal="left" indent="2"/>
    </xf>
    <xf numFmtId="3" fontId="27" fillId="21" borderId="34" xfId="0" applyNumberFormat="1" applyFont="1" applyFill="1" applyBorder="1" applyAlignment="1">
      <alignment horizontal="center"/>
    </xf>
    <xf numFmtId="167" fontId="0" fillId="21" borderId="0" xfId="0" applyNumberFormat="1" applyFont="1" applyFill="1" applyBorder="1" applyAlignment="1">
      <alignment horizontal="center"/>
    </xf>
    <xf numFmtId="2" fontId="0" fillId="21" borderId="39" xfId="0" applyNumberFormat="1" applyFont="1" applyFill="1" applyBorder="1" applyAlignment="1">
      <alignment horizontal="center"/>
    </xf>
    <xf numFmtId="164" fontId="0" fillId="19" borderId="10" xfId="0" applyNumberFormat="1" applyFill="1" applyBorder="1" applyAlignment="1">
      <alignment horizontal="center"/>
    </xf>
    <xf numFmtId="2" fontId="0" fillId="19" borderId="17" xfId="0" applyNumberFormat="1" applyFill="1" applyBorder="1" applyAlignment="1">
      <alignment horizontal="center"/>
    </xf>
    <xf numFmtId="3" fontId="29" fillId="19" borderId="10" xfId="0" applyNumberFormat="1" applyFont="1" applyFill="1" applyBorder="1" applyAlignment="1">
      <alignment horizontal="center"/>
    </xf>
    <xf numFmtId="167" fontId="0" fillId="19" borderId="8" xfId="0" applyNumberFormat="1" applyFill="1" applyBorder="1" applyAlignment="1">
      <alignment horizontal="center"/>
    </xf>
    <xf numFmtId="164" fontId="0" fillId="22" borderId="34" xfId="0" applyNumberFormat="1" applyFill="1" applyBorder="1" applyAlignment="1">
      <alignment horizontal="center"/>
    </xf>
    <xf numFmtId="3" fontId="0" fillId="22" borderId="34" xfId="0" applyNumberFormat="1" applyFill="1" applyBorder="1" applyAlignment="1">
      <alignment horizontal="center"/>
    </xf>
    <xf numFmtId="3" fontId="0" fillId="22" borderId="0" xfId="0" applyNumberFormat="1" applyFill="1" applyBorder="1" applyAlignment="1">
      <alignment horizontal="center"/>
    </xf>
    <xf numFmtId="2" fontId="0" fillId="22" borderId="39" xfId="0" applyNumberFormat="1" applyFill="1" applyBorder="1" applyAlignment="1">
      <alignment horizontal="center"/>
    </xf>
    <xf numFmtId="3" fontId="0" fillId="22" borderId="39" xfId="0" applyNumberFormat="1" applyFill="1" applyBorder="1" applyAlignment="1">
      <alignment horizontal="center"/>
    </xf>
    <xf numFmtId="3" fontId="29" fillId="22" borderId="34" xfId="0" applyNumberFormat="1" applyFont="1" applyFill="1" applyBorder="1" applyAlignment="1">
      <alignment horizontal="center"/>
    </xf>
    <xf numFmtId="167" fontId="0" fillId="22" borderId="0" xfId="0" applyNumberFormat="1" applyFill="1" applyBorder="1" applyAlignment="1">
      <alignment horizontal="center"/>
    </xf>
    <xf numFmtId="165" fontId="0" fillId="22" borderId="39" xfId="0" applyNumberFormat="1" applyFill="1" applyBorder="1" applyAlignment="1">
      <alignment horizontal="center"/>
    </xf>
    <xf numFmtId="1" fontId="0" fillId="22" borderId="0" xfId="0" applyNumberFormat="1" applyFill="1" applyBorder="1" applyAlignment="1">
      <alignment horizontal="center"/>
    </xf>
    <xf numFmtId="1" fontId="0" fillId="22" borderId="39" xfId="0" applyNumberFormat="1" applyFill="1" applyBorder="1" applyAlignment="1">
      <alignment horizontal="center"/>
    </xf>
    <xf numFmtId="3" fontId="31" fillId="22" borderId="0" xfId="0" applyNumberFormat="1" applyFont="1" applyFill="1" applyBorder="1" applyAlignment="1">
      <alignment horizontal="center"/>
    </xf>
    <xf numFmtId="3" fontId="31" fillId="22" borderId="39" xfId="0" applyNumberFormat="1" applyFont="1" applyFill="1" applyBorder="1" applyAlignment="1">
      <alignment horizontal="center"/>
    </xf>
    <xf numFmtId="166" fontId="0" fillId="22" borderId="0" xfId="0" applyNumberFormat="1" applyFill="1" applyBorder="1" applyAlignment="1">
      <alignment horizontal="center"/>
    </xf>
    <xf numFmtId="2" fontId="0" fillId="22" borderId="46" xfId="0" applyNumberFormat="1" applyFill="1" applyBorder="1" applyAlignment="1">
      <alignment horizontal="left" indent="2"/>
    </xf>
    <xf numFmtId="3" fontId="0" fillId="22" borderId="34" xfId="0" applyNumberFormat="1" applyFont="1" applyFill="1" applyBorder="1" applyAlignment="1">
      <alignment horizontal="center"/>
    </xf>
    <xf numFmtId="2" fontId="0" fillId="22" borderId="39" xfId="0" applyNumberFormat="1" applyFont="1" applyFill="1" applyBorder="1" applyAlignment="1">
      <alignment horizontal="center"/>
    </xf>
    <xf numFmtId="165" fontId="0" fillId="22" borderId="39" xfId="0" applyNumberFormat="1" applyFont="1" applyFill="1" applyBorder="1" applyAlignment="1">
      <alignment horizontal="center"/>
    </xf>
    <xf numFmtId="1" fontId="0" fillId="22" borderId="0" xfId="0" applyNumberFormat="1" applyFont="1" applyFill="1" applyBorder="1" applyAlignment="1">
      <alignment horizontal="center"/>
    </xf>
    <xf numFmtId="1" fontId="0" fillId="22" borderId="39" xfId="0" applyNumberFormat="1" applyFont="1" applyFill="1" applyBorder="1" applyAlignment="1">
      <alignment horizontal="center"/>
    </xf>
    <xf numFmtId="3" fontId="0" fillId="22" borderId="0" xfId="0" applyNumberFormat="1" applyFont="1" applyFill="1" applyBorder="1" applyAlignment="1">
      <alignment horizontal="center"/>
    </xf>
    <xf numFmtId="3" fontId="0" fillId="22" borderId="39" xfId="0" applyNumberFormat="1" applyFont="1" applyFill="1" applyBorder="1" applyAlignment="1">
      <alignment horizontal="center"/>
    </xf>
    <xf numFmtId="3" fontId="31" fillId="22" borderId="34" xfId="0" applyNumberFormat="1" applyFont="1" applyFill="1" applyBorder="1" applyAlignment="1">
      <alignment horizontal="center"/>
    </xf>
    <xf numFmtId="167" fontId="0" fillId="22" borderId="0" xfId="0" applyNumberFormat="1" applyFont="1" applyFill="1" applyBorder="1" applyAlignment="1">
      <alignment horizontal="center"/>
    </xf>
    <xf numFmtId="3" fontId="0" fillId="22" borderId="0" xfId="0" applyNumberFormat="1" applyFont="1" applyFill="1" applyBorder="1" applyAlignment="1">
      <alignment horizontal="center"/>
    </xf>
    <xf numFmtId="3" fontId="0" fillId="22" borderId="39" xfId="0" applyNumberFormat="1" applyFont="1" applyFill="1" applyBorder="1" applyAlignment="1">
      <alignment horizontal="center"/>
    </xf>
    <xf numFmtId="1" fontId="0" fillId="14" borderId="39" xfId="0" applyNumberFormat="1" applyFill="1" applyBorder="1" applyAlignment="1">
      <alignment horizontal="center"/>
    </xf>
    <xf numFmtId="1" fontId="0" fillId="14" borderId="34" xfId="0" applyNumberFormat="1" applyFill="1" applyBorder="1" applyAlignment="1">
      <alignment horizontal="center"/>
    </xf>
    <xf numFmtId="2" fontId="0" fillId="19" borderId="0" xfId="0" applyNumberFormat="1" applyFont="1" applyFill="1" applyBorder="1" applyAlignment="1">
      <alignment horizontal="center"/>
    </xf>
    <xf numFmtId="2" fontId="0" fillId="19" borderId="0" xfId="0" applyNumberFormat="1" applyFill="1" applyBorder="1" applyAlignment="1">
      <alignment horizontal="center"/>
    </xf>
    <xf numFmtId="2" fontId="0" fillId="22" borderId="0" xfId="0" applyNumberFormat="1" applyFill="1" applyBorder="1" applyAlignment="1">
      <alignment horizontal="center"/>
    </xf>
    <xf numFmtId="2" fontId="0" fillId="21" borderId="0" xfId="0" applyNumberFormat="1" applyFill="1" applyBorder="1" applyAlignment="1">
      <alignment horizontal="center"/>
    </xf>
    <xf numFmtId="2" fontId="0" fillId="19" borderId="8" xfId="0" applyNumberFormat="1" applyFill="1" applyBorder="1" applyAlignment="1">
      <alignment horizontal="center"/>
    </xf>
    <xf numFmtId="2" fontId="1" fillId="19" borderId="0" xfId="0" applyNumberFormat="1" applyFont="1" applyFill="1" applyBorder="1" applyAlignment="1">
      <alignment horizontal="center"/>
    </xf>
    <xf numFmtId="2" fontId="0" fillId="22" borderId="0" xfId="0" applyNumberFormat="1" applyFont="1" applyFill="1" applyBorder="1" applyAlignment="1">
      <alignment horizontal="center"/>
    </xf>
    <xf numFmtId="2" fontId="0" fillId="21" borderId="0" xfId="0" applyNumberFormat="1" applyFont="1" applyFill="1" applyBorder="1" applyAlignment="1">
      <alignment horizontal="center"/>
    </xf>
    <xf numFmtId="165" fontId="0" fillId="19" borderId="0" xfId="0" applyNumberFormat="1" applyFill="1" applyBorder="1" applyAlignment="1">
      <alignment horizontal="center"/>
    </xf>
    <xf numFmtId="165" fontId="0" fillId="22" borderId="0" xfId="0" applyNumberFormat="1" applyFill="1" applyBorder="1" applyAlignment="1">
      <alignment horizontal="center"/>
    </xf>
    <xf numFmtId="165" fontId="0" fillId="19" borderId="0" xfId="0" applyNumberFormat="1" applyFont="1" applyFill="1" applyBorder="1" applyAlignment="1">
      <alignment horizontal="center"/>
    </xf>
    <xf numFmtId="165" fontId="0" fillId="22" borderId="0" xfId="0" applyNumberFormat="1" applyFont="1" applyFill="1" applyBorder="1" applyAlignment="1">
      <alignment horizontal="center"/>
    </xf>
    <xf numFmtId="165" fontId="0" fillId="21" borderId="0" xfId="0" applyNumberFormat="1" applyFill="1" applyBorder="1" applyAlignment="1">
      <alignment horizontal="center"/>
    </xf>
    <xf numFmtId="165" fontId="0" fillId="19" borderId="8" xfId="0" applyNumberFormat="1" applyFill="1" applyBorder="1" applyAlignment="1">
      <alignment horizontal="center"/>
    </xf>
    <xf numFmtId="168" fontId="0" fillId="0" borderId="0" xfId="0" applyNumberFormat="1" applyFill="1" applyBorder="1" applyAlignment="1">
      <alignment horizontal="center"/>
    </xf>
    <xf numFmtId="168" fontId="0" fillId="0" borderId="0" xfId="0" applyNumberFormat="1" applyBorder="1" applyAlignment="1">
      <alignment horizontal="center"/>
    </xf>
    <xf numFmtId="3" fontId="0" fillId="19" borderId="34" xfId="0" applyNumberFormat="1" applyFont="1" applyFill="1" applyBorder="1" applyAlignment="1">
      <alignment horizontal="center"/>
    </xf>
    <xf numFmtId="166" fontId="0" fillId="19" borderId="0" xfId="0" applyNumberFormat="1" applyFont="1" applyFill="1" applyBorder="1" applyAlignment="1">
      <alignment horizontal="center"/>
    </xf>
    <xf numFmtId="2" fontId="0" fillId="20" borderId="0" xfId="0" applyNumberFormat="1" applyFont="1" applyFill="1" applyBorder="1" applyAlignment="1">
      <alignment horizontal="center"/>
    </xf>
    <xf numFmtId="165" fontId="0" fillId="20" borderId="0" xfId="0" applyNumberFormat="1" applyFill="1" applyBorder="1" applyAlignment="1">
      <alignment horizontal="center"/>
    </xf>
    <xf numFmtId="165" fontId="0" fillId="20" borderId="39" xfId="0" applyNumberFormat="1" applyFont="1" applyFill="1" applyBorder="1" applyAlignment="1">
      <alignment horizontal="center"/>
    </xf>
    <xf numFmtId="165" fontId="0" fillId="20" borderId="0" xfId="0" applyNumberFormat="1" applyFont="1" applyFill="1" applyBorder="1" applyAlignment="1">
      <alignment horizontal="center"/>
    </xf>
    <xf numFmtId="1" fontId="0" fillId="20" borderId="0" xfId="0" applyNumberFormat="1" applyFont="1" applyFill="1" applyBorder="1" applyAlignment="1">
      <alignment horizontal="center"/>
    </xf>
    <xf numFmtId="1" fontId="0" fillId="20" borderId="39" xfId="0" applyNumberFormat="1" applyFont="1" applyFill="1" applyBorder="1" applyAlignment="1">
      <alignment horizontal="center"/>
    </xf>
    <xf numFmtId="3" fontId="0" fillId="20" borderId="0" xfId="0" applyNumberFormat="1" applyFont="1" applyFill="1" applyBorder="1" applyAlignment="1">
      <alignment horizontal="center"/>
    </xf>
    <xf numFmtId="3" fontId="0" fillId="20" borderId="39" xfId="0" applyNumberFormat="1" applyFont="1" applyFill="1" applyBorder="1" applyAlignment="1">
      <alignment horizontal="center"/>
    </xf>
    <xf numFmtId="3" fontId="0" fillId="20" borderId="0" xfId="0" applyNumberFormat="1" applyFont="1" applyFill="1" applyBorder="1" applyAlignment="1">
      <alignment horizontal="center"/>
    </xf>
    <xf numFmtId="3" fontId="0" fillId="20" borderId="39" xfId="0" applyNumberFormat="1" applyFont="1" applyFill="1" applyBorder="1" applyAlignment="1">
      <alignment horizontal="center"/>
    </xf>
    <xf numFmtId="2" fontId="0" fillId="20" borderId="0" xfId="0" applyNumberFormat="1" applyFill="1" applyBorder="1" applyAlignment="1">
      <alignment horizontal="center"/>
    </xf>
    <xf numFmtId="164" fontId="2"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164" fontId="2" fillId="0" borderId="0" xfId="0" applyNumberFormat="1" applyFont="1" applyBorder="1" applyAlignment="1">
      <alignment horizontal="center"/>
    </xf>
    <xf numFmtId="3" fontId="2" fillId="0" borderId="0" xfId="0" applyNumberFormat="1" applyFont="1" applyBorder="1" applyAlignment="1">
      <alignment horizontal="center"/>
    </xf>
    <xf numFmtId="2" fontId="2" fillId="16" borderId="0" xfId="0" applyNumberFormat="1" applyFont="1" applyFill="1" applyBorder="1"/>
    <xf numFmtId="1" fontId="2" fillId="16" borderId="0" xfId="0" applyNumberFormat="1" applyFont="1" applyFill="1" applyBorder="1" applyAlignment="1">
      <alignment horizontal="center"/>
    </xf>
    <xf numFmtId="2" fontId="27" fillId="0" borderId="0" xfId="0" applyNumberFormat="1" applyFont="1" applyBorder="1" applyAlignment="1">
      <alignment horizontal="center" vertical="center" wrapText="1"/>
    </xf>
    <xf numFmtId="2" fontId="0" fillId="16" borderId="1" xfId="0" applyNumberFormat="1" applyFont="1" applyFill="1" applyBorder="1"/>
    <xf numFmtId="2" fontId="0" fillId="16" borderId="1" xfId="0" applyNumberFormat="1" applyFill="1" applyBorder="1"/>
    <xf numFmtId="2" fontId="0" fillId="21" borderId="1" xfId="0" applyNumberFormat="1" applyFill="1" applyBorder="1"/>
    <xf numFmtId="0" fontId="0" fillId="0" borderId="38" xfId="0" applyBorder="1" applyAlignment="1">
      <alignment horizontal="center"/>
    </xf>
    <xf numFmtId="2" fontId="2" fillId="7" borderId="0" xfId="0" applyNumberFormat="1" applyFont="1" applyFill="1" applyAlignment="1">
      <alignment horizontal="center"/>
    </xf>
    <xf numFmtId="2" fontId="2" fillId="12" borderId="0" xfId="0" applyNumberFormat="1" applyFont="1" applyFill="1" applyBorder="1" applyAlignment="1">
      <alignment horizontal="center"/>
    </xf>
    <xf numFmtId="3" fontId="0" fillId="19" borderId="48" xfId="0" applyNumberFormat="1" applyFill="1" applyBorder="1" applyAlignment="1">
      <alignment horizontal="center"/>
    </xf>
    <xf numFmtId="3" fontId="0" fillId="19" borderId="46" xfId="0" applyNumberFormat="1" applyFont="1" applyFill="1" applyBorder="1" applyAlignment="1">
      <alignment horizontal="center"/>
    </xf>
    <xf numFmtId="3" fontId="0" fillId="20" borderId="46" xfId="0" applyNumberFormat="1" applyFill="1" applyBorder="1" applyAlignment="1">
      <alignment horizontal="center"/>
    </xf>
    <xf numFmtId="3" fontId="0" fillId="19" borderId="46" xfId="0" applyNumberFormat="1" applyFill="1" applyBorder="1" applyAlignment="1">
      <alignment horizontal="center"/>
    </xf>
    <xf numFmtId="3" fontId="0" fillId="22" borderId="46" xfId="0" applyNumberFormat="1" applyFill="1" applyBorder="1" applyAlignment="1">
      <alignment horizontal="center"/>
    </xf>
    <xf numFmtId="3" fontId="0" fillId="21" borderId="46" xfId="0" applyNumberFormat="1" applyFill="1" applyBorder="1" applyAlignment="1">
      <alignment horizontal="center"/>
    </xf>
    <xf numFmtId="3" fontId="0" fillId="19" borderId="47" xfId="0" applyNumberFormat="1" applyFill="1" applyBorder="1" applyAlignment="1">
      <alignment horizontal="center"/>
    </xf>
    <xf numFmtId="3" fontId="40" fillId="22" borderId="0" xfId="0" applyNumberFormat="1" applyFont="1" applyFill="1" applyBorder="1" applyAlignment="1">
      <alignment horizontal="center"/>
    </xf>
    <xf numFmtId="3" fontId="29" fillId="22" borderId="0" xfId="0" applyNumberFormat="1" applyFont="1" applyFill="1" applyBorder="1" applyAlignment="1">
      <alignment horizontal="center"/>
    </xf>
    <xf numFmtId="3" fontId="29" fillId="21" borderId="0" xfId="0" applyNumberFormat="1" applyFont="1" applyFill="1" applyBorder="1" applyAlignment="1">
      <alignment horizontal="center"/>
    </xf>
    <xf numFmtId="3" fontId="40" fillId="19" borderId="0" xfId="0" applyNumberFormat="1" applyFont="1" applyFill="1" applyBorder="1" applyAlignment="1">
      <alignment horizontal="center"/>
    </xf>
    <xf numFmtId="2" fontId="34" fillId="0" borderId="36" xfId="0" applyNumberFormat="1" applyFont="1" applyBorder="1" applyAlignment="1">
      <alignment/>
    </xf>
    <xf numFmtId="2" fontId="1" fillId="0" borderId="0" xfId="0" applyNumberFormat="1" applyFont="1" applyFill="1" applyBorder="1" applyAlignment="1">
      <alignment horizontal="center"/>
    </xf>
    <xf numFmtId="2" fontId="34" fillId="0" borderId="20" xfId="0" applyNumberFormat="1" applyFont="1" applyBorder="1" applyAlignment="1">
      <alignment horizontal="center"/>
    </xf>
    <xf numFmtId="0" fontId="0" fillId="0" borderId="0" xfId="0" applyAlignment="1">
      <alignment horizontal="center"/>
    </xf>
    <xf numFmtId="0" fontId="0" fillId="0" borderId="0" xfId="0" applyNumberFormat="1" applyBorder="1" applyAlignment="1">
      <alignment wrapText="1"/>
    </xf>
    <xf numFmtId="3" fontId="23" fillId="0" borderId="32" xfId="0" applyNumberFormat="1" applyFont="1" applyBorder="1" applyAlignment="1">
      <alignment horizontal="center"/>
    </xf>
    <xf numFmtId="3" fontId="23" fillId="0" borderId="38" xfId="0" applyNumberFormat="1" applyFont="1" applyBorder="1" applyAlignment="1">
      <alignment horizontal="center" vertical="center" wrapText="1"/>
    </xf>
    <xf numFmtId="0" fontId="23" fillId="0" borderId="32" xfId="0" applyFont="1" applyBorder="1" applyAlignment="1">
      <alignment horizontal="center"/>
    </xf>
    <xf numFmtId="3" fontId="29" fillId="19" borderId="9" xfId="0" applyNumberFormat="1" applyFont="1" applyFill="1" applyBorder="1" applyAlignment="1">
      <alignment horizontal="center"/>
    </xf>
    <xf numFmtId="3" fontId="29" fillId="19" borderId="7" xfId="0" applyNumberFormat="1" applyFont="1" applyFill="1" applyBorder="1" applyAlignment="1">
      <alignment horizontal="center"/>
    </xf>
    <xf numFmtId="3" fontId="40" fillId="19" borderId="7" xfId="0" applyNumberFormat="1" applyFont="1" applyFill="1" applyBorder="1" applyAlignment="1">
      <alignment horizontal="center"/>
    </xf>
    <xf numFmtId="2" fontId="40" fillId="19" borderId="16" xfId="0" applyNumberFormat="1" applyFont="1" applyFill="1" applyBorder="1" applyAlignment="1">
      <alignment horizontal="center"/>
    </xf>
    <xf numFmtId="2" fontId="31" fillId="20" borderId="39" xfId="0" applyNumberFormat="1" applyFont="1" applyFill="1" applyBorder="1" applyAlignment="1">
      <alignment horizontal="center"/>
    </xf>
    <xf numFmtId="2" fontId="29" fillId="22" borderId="39" xfId="0" applyNumberFormat="1" applyFont="1" applyFill="1" applyBorder="1" applyAlignment="1">
      <alignment horizontal="center"/>
    </xf>
    <xf numFmtId="2" fontId="40" fillId="19" borderId="39" xfId="0" applyNumberFormat="1" applyFont="1" applyFill="1" applyBorder="1" applyAlignment="1">
      <alignment horizontal="center"/>
    </xf>
    <xf numFmtId="2" fontId="29" fillId="19" borderId="39" xfId="0" applyNumberFormat="1" applyFont="1" applyFill="1" applyBorder="1" applyAlignment="1">
      <alignment horizontal="center"/>
    </xf>
    <xf numFmtId="2" fontId="31" fillId="22" borderId="39" xfId="0" applyNumberFormat="1" applyFont="1" applyFill="1" applyBorder="1" applyAlignment="1">
      <alignment horizontal="center"/>
    </xf>
    <xf numFmtId="3" fontId="0" fillId="19" borderId="7" xfId="0" applyNumberFormat="1" applyFill="1" applyBorder="1" applyAlignment="1">
      <alignment horizontal="center"/>
    </xf>
    <xf numFmtId="3" fontId="0" fillId="19" borderId="16" xfId="0" applyNumberFormat="1" applyFill="1" applyBorder="1" applyAlignment="1">
      <alignment horizontal="center"/>
    </xf>
    <xf numFmtId="2" fontId="0" fillId="19" borderId="16" xfId="0" applyNumberFormat="1" applyFill="1" applyBorder="1" applyAlignment="1">
      <alignment horizontal="center"/>
    </xf>
    <xf numFmtId="3" fontId="1" fillId="19" borderId="34" xfId="0" applyNumberFormat="1" applyFont="1" applyFill="1" applyBorder="1" applyAlignment="1">
      <alignment horizontal="center"/>
    </xf>
    <xf numFmtId="3" fontId="31" fillId="20" borderId="34" xfId="0" applyNumberFormat="1" applyFont="1" applyFill="1" applyBorder="1" applyAlignment="1">
      <alignment horizontal="center"/>
    </xf>
    <xf numFmtId="3" fontId="29" fillId="21" borderId="34" xfId="0" applyNumberFormat="1" applyFont="1" applyFill="1" applyBorder="1" applyAlignment="1">
      <alignment horizontal="center"/>
    </xf>
    <xf numFmtId="2" fontId="31" fillId="19" borderId="17" xfId="0" applyNumberFormat="1" applyFont="1" applyFill="1" applyBorder="1" applyAlignment="1">
      <alignment horizontal="center"/>
    </xf>
    <xf numFmtId="3" fontId="40" fillId="19" borderId="21" xfId="0" applyNumberFormat="1" applyFont="1" applyFill="1" applyBorder="1" applyAlignment="1">
      <alignment horizontal="center"/>
    </xf>
    <xf numFmtId="3" fontId="0" fillId="19" borderId="22" xfId="0" applyNumberFormat="1" applyFont="1" applyFill="1" applyBorder="1" applyAlignment="1">
      <alignment horizontal="center"/>
    </xf>
    <xf numFmtId="3" fontId="0" fillId="20" borderId="22" xfId="0" applyNumberFormat="1" applyFill="1" applyBorder="1" applyAlignment="1">
      <alignment horizontal="center"/>
    </xf>
    <xf numFmtId="3" fontId="0" fillId="19" borderId="22" xfId="0" applyNumberFormat="1" applyFill="1" applyBorder="1" applyAlignment="1">
      <alignment horizontal="center"/>
    </xf>
    <xf numFmtId="3" fontId="40" fillId="22" borderId="22" xfId="0" applyNumberFormat="1" applyFont="1" applyFill="1" applyBorder="1" applyAlignment="1">
      <alignment horizontal="center"/>
    </xf>
    <xf numFmtId="3" fontId="40" fillId="19" borderId="22" xfId="0" applyNumberFormat="1" applyFont="1" applyFill="1" applyBorder="1" applyAlignment="1">
      <alignment horizontal="center"/>
    </xf>
    <xf numFmtId="3" fontId="0" fillId="22" borderId="22" xfId="0" applyNumberFormat="1" applyFill="1" applyBorder="1" applyAlignment="1">
      <alignment horizontal="center"/>
    </xf>
    <xf numFmtId="3" fontId="0" fillId="22" borderId="22" xfId="0" applyNumberFormat="1" applyFont="1" applyFill="1" applyBorder="1" applyAlignment="1">
      <alignment horizontal="center"/>
    </xf>
    <xf numFmtId="3" fontId="29" fillId="19" borderId="22" xfId="0" applyNumberFormat="1" applyFont="1" applyFill="1" applyBorder="1" applyAlignment="1">
      <alignment horizontal="center"/>
    </xf>
    <xf numFmtId="3" fontId="0" fillId="21" borderId="22" xfId="0" applyNumberFormat="1" applyFill="1" applyBorder="1" applyAlignment="1">
      <alignment horizontal="center"/>
    </xf>
    <xf numFmtId="3" fontId="0" fillId="19" borderId="24" xfId="0" applyNumberFormat="1" applyFill="1" applyBorder="1" applyAlignment="1">
      <alignment horizontal="center"/>
    </xf>
    <xf numFmtId="3" fontId="0" fillId="19" borderId="21" xfId="0" applyNumberFormat="1" applyFill="1" applyBorder="1" applyAlignment="1">
      <alignment horizontal="center"/>
    </xf>
    <xf numFmtId="3" fontId="41" fillId="19" borderId="0" xfId="0" applyNumberFormat="1" applyFont="1" applyFill="1" applyBorder="1" applyAlignment="1">
      <alignment horizontal="center"/>
    </xf>
    <xf numFmtId="3" fontId="41" fillId="20" borderId="0" xfId="0" applyNumberFormat="1" applyFont="1" applyFill="1" applyBorder="1" applyAlignment="1">
      <alignment horizontal="center"/>
    </xf>
    <xf numFmtId="3" fontId="41" fillId="22" borderId="0" xfId="0" applyNumberFormat="1" applyFont="1" applyFill="1" applyBorder="1" applyAlignment="1">
      <alignment horizontal="center"/>
    </xf>
    <xf numFmtId="3" fontId="0" fillId="21" borderId="0" xfId="0" applyNumberFormat="1" applyFont="1" applyFill="1" applyBorder="1" applyAlignment="1">
      <alignment horizontal="center"/>
    </xf>
    <xf numFmtId="3" fontId="0" fillId="19" borderId="8" xfId="0" applyNumberFormat="1" applyFont="1" applyFill="1" applyBorder="1" applyAlignment="1">
      <alignment horizontal="center"/>
    </xf>
    <xf numFmtId="2" fontId="41" fillId="19" borderId="39" xfId="0" applyNumberFormat="1" applyFont="1" applyFill="1" applyBorder="1" applyAlignment="1">
      <alignment horizontal="center"/>
    </xf>
    <xf numFmtId="3" fontId="0" fillId="19" borderId="22" xfId="0" applyNumberFormat="1" applyFont="1" applyFill="1" applyBorder="1" applyAlignment="1">
      <alignment horizontal="center"/>
    </xf>
    <xf numFmtId="3" fontId="41" fillId="19" borderId="39" xfId="0" applyNumberFormat="1" applyFont="1" applyFill="1" applyBorder="1" applyAlignment="1">
      <alignment horizontal="center"/>
    </xf>
    <xf numFmtId="3" fontId="29" fillId="19" borderId="0" xfId="0" applyNumberFormat="1" applyFont="1" applyFill="1" applyBorder="1" applyAlignment="1" quotePrefix="1">
      <alignment horizontal="center"/>
    </xf>
    <xf numFmtId="0" fontId="0" fillId="0" borderId="0" xfId="0" applyFont="1"/>
    <xf numFmtId="0" fontId="0" fillId="0" borderId="1" xfId="0"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0" fillId="0" borderId="23" xfId="0" applyFont="1" applyBorder="1" applyAlignment="1">
      <alignment horizontal="center"/>
    </xf>
    <xf numFmtId="0" fontId="0" fillId="0" borderId="23" xfId="0" applyFont="1" applyFill="1" applyBorder="1" applyAlignment="1">
      <alignment horizontal="center"/>
    </xf>
    <xf numFmtId="0" fontId="0" fillId="0" borderId="23" xfId="0" applyBorder="1"/>
    <xf numFmtId="165" fontId="0" fillId="0" borderId="38" xfId="0" applyNumberFormat="1" applyBorder="1" applyAlignment="1">
      <alignment horizontal="center"/>
    </xf>
    <xf numFmtId="3" fontId="0" fillId="0" borderId="38" xfId="0" applyNumberFormat="1" applyFont="1" applyBorder="1" applyAlignment="1">
      <alignment horizontal="center"/>
    </xf>
    <xf numFmtId="0" fontId="0" fillId="0" borderId="0" xfId="0" applyNumberFormat="1" applyFont="1" applyBorder="1" applyAlignment="1">
      <alignment horizontal="left"/>
    </xf>
    <xf numFmtId="3" fontId="0" fillId="0" borderId="0" xfId="0" applyNumberFormat="1" applyFont="1"/>
    <xf numFmtId="3" fontId="0" fillId="0" borderId="0" xfId="0" applyNumberFormat="1" applyFont="1" applyAlignment="1">
      <alignment horizontal="right"/>
    </xf>
    <xf numFmtId="165" fontId="0" fillId="0" borderId="0" xfId="0" applyNumberFormat="1" applyFont="1"/>
    <xf numFmtId="0" fontId="0" fillId="0" borderId="0" xfId="0" applyNumberFormat="1" applyBorder="1" applyAlignment="1">
      <alignment horizontal="left"/>
    </xf>
    <xf numFmtId="0" fontId="0" fillId="0" borderId="0" xfId="0" applyFont="1" applyAlignment="1">
      <alignment horizontal="center"/>
    </xf>
    <xf numFmtId="0" fontId="0" fillId="0" borderId="0" xfId="0" applyAlignment="1">
      <alignment horizontal="right"/>
    </xf>
    <xf numFmtId="0" fontId="0" fillId="0" borderId="29" xfId="0" applyBorder="1"/>
    <xf numFmtId="0" fontId="0" fillId="0" borderId="0" xfId="0" applyFont="1" applyBorder="1" applyAlignment="1">
      <alignment/>
    </xf>
    <xf numFmtId="0" fontId="0" fillId="0" borderId="23" xfId="0" applyBorder="1" applyAlignment="1">
      <alignment horizontal="center"/>
    </xf>
    <xf numFmtId="2" fontId="0" fillId="0" borderId="0" xfId="0" applyNumberFormat="1" applyFont="1" applyBorder="1" applyAlignment="1">
      <alignment/>
    </xf>
    <xf numFmtId="2" fontId="0" fillId="23" borderId="0" xfId="0" applyNumberFormat="1" applyFill="1" applyAlignment="1">
      <alignment horizontal="center"/>
    </xf>
    <xf numFmtId="2" fontId="0" fillId="23" borderId="0" xfId="0" applyNumberFormat="1" applyFont="1" applyFill="1" applyBorder="1" applyAlignment="1">
      <alignment/>
    </xf>
    <xf numFmtId="2" fontId="0" fillId="24" borderId="0" xfId="0" applyNumberFormat="1" applyFill="1" applyAlignment="1">
      <alignment horizontal="center"/>
    </xf>
    <xf numFmtId="2" fontId="0" fillId="24" borderId="0" xfId="0" applyNumberFormat="1" applyFont="1" applyFill="1" applyBorder="1" applyAlignment="1">
      <alignment/>
    </xf>
    <xf numFmtId="2" fontId="0" fillId="20" borderId="0" xfId="0" applyNumberFormat="1" applyFill="1" applyAlignment="1">
      <alignment horizontal="center"/>
    </xf>
    <xf numFmtId="2" fontId="0" fillId="20" borderId="0" xfId="0" applyNumberFormat="1" applyFont="1" applyFill="1" applyBorder="1" applyAlignment="1">
      <alignment/>
    </xf>
    <xf numFmtId="0" fontId="0" fillId="0" borderId="38" xfId="0" applyFont="1" applyBorder="1" applyAlignment="1">
      <alignment horizontal="center" wrapText="1"/>
    </xf>
    <xf numFmtId="0" fontId="0" fillId="25" borderId="0" xfId="0" applyFill="1" applyAlignment="1">
      <alignment horizontal="center"/>
    </xf>
    <xf numFmtId="0" fontId="0" fillId="25" borderId="0" xfId="0" applyFont="1" applyFill="1" applyAlignment="1">
      <alignment horizontal="right"/>
    </xf>
    <xf numFmtId="164" fontId="0" fillId="25" borderId="0" xfId="0" applyNumberFormat="1" applyFont="1" applyFill="1" applyAlignment="1">
      <alignment horizontal="center"/>
    </xf>
    <xf numFmtId="164" fontId="0" fillId="25" borderId="0" xfId="0" applyNumberFormat="1" applyFill="1" applyAlignment="1">
      <alignment horizontal="center"/>
    </xf>
    <xf numFmtId="1" fontId="27" fillId="12" borderId="0" xfId="0" applyNumberFormat="1" applyFont="1" applyFill="1"/>
    <xf numFmtId="1" fontId="0" fillId="12" borderId="0" xfId="0" applyNumberFormat="1" applyFill="1"/>
    <xf numFmtId="1" fontId="27" fillId="11" borderId="0" xfId="0" applyNumberFormat="1" applyFont="1" applyFill="1"/>
    <xf numFmtId="1" fontId="0" fillId="11" borderId="0" xfId="0" applyNumberFormat="1" applyFill="1"/>
    <xf numFmtId="0" fontId="0" fillId="0" borderId="19" xfId="0" applyBorder="1" applyAlignment="1">
      <alignment horizontal="left"/>
    </xf>
    <xf numFmtId="2" fontId="0" fillId="0" borderId="0" xfId="0" applyNumberFormat="1" applyFill="1" applyProtection="1">
      <protection locked="0"/>
    </xf>
    <xf numFmtId="2" fontId="0" fillId="12" borderId="34" xfId="0" applyNumberFormat="1" applyFill="1" applyBorder="1"/>
    <xf numFmtId="2" fontId="0" fillId="12" borderId="39" xfId="0" applyNumberFormat="1" applyFill="1" applyBorder="1"/>
    <xf numFmtId="2" fontId="0" fillId="12" borderId="4" xfId="0" applyNumberFormat="1" applyFill="1" applyBorder="1"/>
    <xf numFmtId="2" fontId="0" fillId="0" borderId="25" xfId="0" applyNumberFormat="1" applyFont="1" applyFill="1" applyBorder="1" applyAlignment="1">
      <alignment horizontal="center"/>
    </xf>
    <xf numFmtId="2" fontId="0" fillId="0" borderId="33" xfId="0" applyNumberFormat="1" applyFont="1" applyFill="1" applyBorder="1" applyAlignment="1" quotePrefix="1">
      <alignment horizontal="center"/>
    </xf>
    <xf numFmtId="0" fontId="0" fillId="0" borderId="14" xfId="0" applyFont="1" applyFill="1" applyBorder="1" applyAlignment="1">
      <alignment horizontal="center"/>
    </xf>
    <xf numFmtId="164" fontId="0" fillId="2" borderId="34" xfId="0" applyNumberFormat="1" applyFill="1" applyBorder="1"/>
    <xf numFmtId="164" fontId="0" fillId="2" borderId="39" xfId="0" applyNumberFormat="1" applyFill="1" applyBorder="1"/>
    <xf numFmtId="164" fontId="0" fillId="2" borderId="4" xfId="0" applyNumberFormat="1" applyFill="1" applyBorder="1"/>
    <xf numFmtId="164" fontId="0" fillId="2" borderId="22" xfId="0" applyNumberFormat="1" applyFill="1" applyBorder="1"/>
    <xf numFmtId="2" fontId="0" fillId="12" borderId="4" xfId="0" applyNumberFormat="1" applyFont="1" applyFill="1" applyBorder="1" applyAlignment="1">
      <alignment horizontal="right"/>
    </xf>
    <xf numFmtId="2" fontId="0" fillId="0" borderId="5" xfId="0" applyNumberFormat="1" applyFont="1" applyFill="1" applyBorder="1" applyAlignment="1">
      <alignment horizontal="right"/>
    </xf>
    <xf numFmtId="2" fontId="27" fillId="0" borderId="34" xfId="0" applyNumberFormat="1" applyFont="1" applyFill="1" applyBorder="1"/>
    <xf numFmtId="2" fontId="27" fillId="0" borderId="22" xfId="0" applyNumberFormat="1" applyFont="1" applyFill="1" applyBorder="1"/>
    <xf numFmtId="2" fontId="27" fillId="0" borderId="39" xfId="0" applyNumberFormat="1" applyFont="1" applyFill="1" applyBorder="1"/>
    <xf numFmtId="2" fontId="0" fillId="0" borderId="4" xfId="0" applyNumberFormat="1" applyFont="1" applyFill="1" applyBorder="1" applyAlignment="1">
      <alignment horizontal="right"/>
    </xf>
    <xf numFmtId="2" fontId="0" fillId="0" borderId="34" xfId="0" applyNumberFormat="1" applyFill="1" applyBorder="1"/>
    <xf numFmtId="2" fontId="0" fillId="0" borderId="22" xfId="0" applyNumberFormat="1" applyFill="1" applyBorder="1"/>
    <xf numFmtId="2" fontId="0" fillId="0" borderId="39" xfId="0" applyNumberFormat="1" applyFill="1" applyBorder="1"/>
    <xf numFmtId="2" fontId="27" fillId="0" borderId="10" xfId="0" applyNumberFormat="1" applyFont="1" applyFill="1" applyBorder="1"/>
    <xf numFmtId="2" fontId="27" fillId="0" borderId="24" xfId="0" applyNumberFormat="1" applyFont="1" applyFill="1" applyBorder="1"/>
    <xf numFmtId="2" fontId="27" fillId="0" borderId="17" xfId="0" applyNumberFormat="1" applyFont="1" applyFill="1" applyBorder="1"/>
    <xf numFmtId="2" fontId="0" fillId="0" borderId="2" xfId="0" applyNumberFormat="1" applyFont="1" applyFill="1" applyBorder="1" applyAlignment="1">
      <alignment horizontal="right"/>
    </xf>
    <xf numFmtId="2" fontId="0" fillId="26" borderId="14" xfId="0" applyNumberFormat="1" applyFont="1" applyFill="1" applyBorder="1" applyAlignment="1">
      <alignment horizontal="center"/>
    </xf>
    <xf numFmtId="2" fontId="27" fillId="26" borderId="39" xfId="0" applyNumberFormat="1" applyFont="1" applyFill="1" applyBorder="1"/>
    <xf numFmtId="2" fontId="0" fillId="26" borderId="39" xfId="0" applyNumberFormat="1" applyFill="1" applyBorder="1"/>
    <xf numFmtId="2" fontId="27" fillId="26" borderId="17" xfId="0" applyNumberFormat="1" applyFont="1" applyFill="1" applyBorder="1"/>
    <xf numFmtId="2" fontId="0" fillId="0" borderId="34" xfId="0" applyNumberFormat="1" applyFont="1" applyFill="1" applyBorder="1"/>
    <xf numFmtId="2" fontId="0" fillId="0" borderId="22" xfId="0" applyNumberFormat="1" applyFont="1" applyFill="1" applyBorder="1"/>
    <xf numFmtId="2" fontId="0" fillId="0" borderId="39" xfId="0" applyNumberFormat="1" applyFont="1" applyFill="1" applyBorder="1"/>
    <xf numFmtId="2" fontId="0" fillId="0" borderId="10" xfId="0" applyNumberFormat="1" applyFont="1" applyFill="1" applyBorder="1"/>
    <xf numFmtId="2" fontId="0" fillId="0" borderId="24" xfId="0" applyNumberFormat="1" applyFont="1" applyFill="1" applyBorder="1"/>
    <xf numFmtId="2" fontId="0" fillId="0" borderId="17" xfId="0" applyNumberFormat="1" applyFont="1" applyFill="1" applyBorder="1"/>
    <xf numFmtId="164" fontId="19" fillId="12" borderId="0" xfId="0" applyNumberFormat="1" applyFont="1" applyFill="1"/>
    <xf numFmtId="2" fontId="0" fillId="12" borderId="34" xfId="0" applyNumberFormat="1" applyFont="1" applyFill="1" applyBorder="1" applyAlignment="1">
      <alignment horizontal="right"/>
    </xf>
    <xf numFmtId="2" fontId="0" fillId="12" borderId="22" xfId="0" applyNumberFormat="1" applyFont="1" applyFill="1" applyBorder="1" applyAlignment="1">
      <alignment horizontal="right"/>
    </xf>
    <xf numFmtId="2" fontId="0" fillId="12" borderId="39" xfId="0" applyNumberFormat="1" applyFont="1" applyFill="1" applyBorder="1" applyAlignment="1">
      <alignment horizontal="right"/>
    </xf>
    <xf numFmtId="164" fontId="19" fillId="14" borderId="0" xfId="0" applyNumberFormat="1" applyFont="1" applyFill="1"/>
    <xf numFmtId="2" fontId="0" fillId="14" borderId="34" xfId="0" applyNumberFormat="1" applyFont="1" applyFill="1" applyBorder="1" applyAlignment="1">
      <alignment horizontal="right"/>
    </xf>
    <xf numFmtId="2" fontId="0" fillId="14" borderId="22" xfId="0" applyNumberFormat="1" applyFont="1" applyFill="1" applyBorder="1" applyAlignment="1">
      <alignment horizontal="right"/>
    </xf>
    <xf numFmtId="2" fontId="0" fillId="14" borderId="39" xfId="0" applyNumberFormat="1" applyFont="1" applyFill="1" applyBorder="1" applyAlignment="1">
      <alignment horizontal="right"/>
    </xf>
    <xf numFmtId="2" fontId="0" fillId="14" borderId="4" xfId="0" applyNumberFormat="1" applyFont="1" applyFill="1" applyBorder="1" applyAlignment="1">
      <alignment horizontal="right"/>
    </xf>
    <xf numFmtId="164" fontId="19" fillId="26" borderId="0" xfId="0" applyNumberFormat="1" applyFont="1" applyFill="1" applyBorder="1"/>
    <xf numFmtId="164" fontId="19" fillId="26" borderId="0" xfId="0" applyNumberFormat="1" applyFont="1" applyFill="1"/>
    <xf numFmtId="164" fontId="0" fillId="0" borderId="4" xfId="0" applyNumberFormat="1" applyFont="1" applyFill="1" applyBorder="1" applyAlignment="1">
      <alignment horizontal="right"/>
    </xf>
    <xf numFmtId="164" fontId="27" fillId="26" borderId="39" xfId="0" applyNumberFormat="1" applyFont="1" applyFill="1" applyBorder="1"/>
    <xf numFmtId="164" fontId="0" fillId="6" borderId="0" xfId="0" applyNumberFormat="1" applyFill="1"/>
    <xf numFmtId="164" fontId="27" fillId="0" borderId="34" xfId="0" applyNumberFormat="1" applyFont="1" applyFill="1" applyBorder="1"/>
    <xf numFmtId="164" fontId="0" fillId="26" borderId="39" xfId="0" applyNumberFormat="1" applyFill="1" applyBorder="1"/>
    <xf numFmtId="164" fontId="0" fillId="0" borderId="34" xfId="0" applyNumberFormat="1" applyFill="1" applyBorder="1"/>
    <xf numFmtId="164" fontId="0" fillId="0" borderId="24" xfId="0" applyNumberFormat="1" applyFont="1" applyFill="1" applyBorder="1"/>
    <xf numFmtId="164" fontId="0" fillId="0" borderId="2" xfId="0" applyNumberFormat="1" applyFont="1" applyFill="1" applyBorder="1" applyAlignment="1">
      <alignment horizontal="right"/>
    </xf>
    <xf numFmtId="164" fontId="27" fillId="26" borderId="17" xfId="0" applyNumberFormat="1" applyFont="1" applyFill="1" applyBorder="1"/>
    <xf numFmtId="164" fontId="27" fillId="0" borderId="10" xfId="0" applyNumberFormat="1" applyFont="1" applyFill="1" applyBorder="1"/>
    <xf numFmtId="1" fontId="19" fillId="0" borderId="0" xfId="0" applyNumberFormat="1" applyFont="1" applyFill="1" applyBorder="1"/>
    <xf numFmtId="1" fontId="19" fillId="9" borderId="0" xfId="0" applyNumberFormat="1" applyFont="1" applyFill="1"/>
    <xf numFmtId="1" fontId="19" fillId="0" borderId="0" xfId="0" applyNumberFormat="1" applyFont="1"/>
    <xf numFmtId="1" fontId="19" fillId="0" borderId="0" xfId="0" applyNumberFormat="1" applyFont="1" applyFill="1" applyBorder="1"/>
    <xf numFmtId="1" fontId="0" fillId="0" borderId="25" xfId="0" applyNumberFormat="1" applyFont="1" applyFill="1" applyBorder="1" applyAlignment="1">
      <alignment horizontal="center"/>
    </xf>
    <xf numFmtId="1" fontId="0" fillId="0" borderId="33" xfId="0" applyNumberFormat="1" applyFont="1" applyFill="1" applyBorder="1" applyAlignment="1" quotePrefix="1">
      <alignment horizontal="center"/>
    </xf>
    <xf numFmtId="1" fontId="0" fillId="0" borderId="14" xfId="0" applyNumberFormat="1" applyFont="1" applyFill="1" applyBorder="1" applyAlignment="1">
      <alignment horizontal="center"/>
    </xf>
    <xf numFmtId="1" fontId="0" fillId="0" borderId="5" xfId="0" applyNumberFormat="1" applyFont="1" applyFill="1" applyBorder="1" applyAlignment="1">
      <alignment horizontal="right"/>
    </xf>
    <xf numFmtId="1" fontId="0" fillId="0" borderId="22" xfId="0" applyNumberFormat="1" applyFont="1" applyFill="1" applyBorder="1"/>
    <xf numFmtId="1" fontId="27" fillId="0" borderId="39" xfId="0" applyNumberFormat="1" applyFont="1" applyFill="1" applyBorder="1"/>
    <xf numFmtId="1" fontId="0" fillId="0" borderId="4" xfId="0" applyNumberFormat="1" applyFont="1" applyFill="1" applyBorder="1" applyAlignment="1">
      <alignment horizontal="right"/>
    </xf>
    <xf numFmtId="1" fontId="0" fillId="0" borderId="39" xfId="0" applyNumberFormat="1" applyFill="1" applyBorder="1"/>
    <xf numFmtId="1" fontId="0" fillId="0" borderId="24" xfId="0" applyNumberFormat="1" applyFont="1" applyFill="1" applyBorder="1"/>
    <xf numFmtId="1" fontId="27" fillId="0" borderId="17" xfId="0" applyNumberFormat="1" applyFont="1" applyFill="1" applyBorder="1"/>
    <xf numFmtId="1" fontId="0" fillId="0" borderId="2" xfId="0" applyNumberFormat="1" applyFont="1" applyFill="1" applyBorder="1" applyAlignment="1">
      <alignment horizontal="right"/>
    </xf>
    <xf numFmtId="1" fontId="19" fillId="26" borderId="0" xfId="0" applyNumberFormat="1" applyFont="1" applyFill="1" applyBorder="1"/>
    <xf numFmtId="1" fontId="19" fillId="26" borderId="0" xfId="0" applyNumberFormat="1" applyFont="1" applyFill="1"/>
    <xf numFmtId="1" fontId="19" fillId="10" borderId="0" xfId="0" applyNumberFormat="1" applyFont="1" applyFill="1"/>
    <xf numFmtId="1" fontId="19" fillId="0" borderId="0" xfId="0" applyNumberFormat="1" applyFont="1" applyFill="1"/>
    <xf numFmtId="2" fontId="23" fillId="12" borderId="0" xfId="0" applyNumberFormat="1" applyFont="1" applyFill="1" applyBorder="1"/>
    <xf numFmtId="165" fontId="0" fillId="7" borderId="0" xfId="0" applyNumberFormat="1" applyFill="1" applyBorder="1"/>
    <xf numFmtId="2" fontId="0" fillId="6" borderId="0" xfId="0" applyNumberFormat="1" applyFill="1" applyBorder="1" applyProtection="1">
      <protection locked="0"/>
    </xf>
    <xf numFmtId="2" fontId="0" fillId="0" borderId="18" xfId="0" applyNumberFormat="1" applyBorder="1"/>
    <xf numFmtId="2" fontId="2" fillId="7" borderId="18" xfId="0" applyNumberFormat="1" applyFont="1" applyFill="1" applyBorder="1"/>
    <xf numFmtId="2" fontId="0" fillId="0" borderId="0" xfId="0" applyNumberFormat="1" applyFont="1"/>
    <xf numFmtId="2" fontId="0" fillId="26" borderId="1" xfId="0" applyNumberFormat="1" applyFont="1" applyFill="1" applyBorder="1"/>
    <xf numFmtId="2" fontId="0" fillId="12" borderId="22" xfId="0" applyNumberFormat="1" applyFont="1" applyFill="1" applyBorder="1"/>
    <xf numFmtId="164" fontId="19" fillId="0" borderId="0" xfId="0" applyNumberFormat="1" applyFont="1"/>
    <xf numFmtId="1" fontId="0" fillId="0" borderId="0" xfId="0" applyNumberFormat="1" applyFill="1" applyBorder="1"/>
    <xf numFmtId="1" fontId="2" fillId="0" borderId="0" xfId="0" applyNumberFormat="1" applyFont="1" applyFill="1" applyBorder="1"/>
    <xf numFmtId="1" fontId="0" fillId="0" borderId="0" xfId="0" applyNumberFormat="1" applyFont="1" applyFill="1" applyBorder="1"/>
    <xf numFmtId="2" fontId="0" fillId="14" borderId="0" xfId="0" applyNumberFormat="1" applyFill="1" applyBorder="1" applyProtection="1">
      <protection locked="0"/>
    </xf>
    <xf numFmtId="164" fontId="0" fillId="0" borderId="0" xfId="0" applyNumberFormat="1" applyFont="1" applyFill="1" applyBorder="1"/>
    <xf numFmtId="2" fontId="0" fillId="0" borderId="0" xfId="0" applyNumberFormat="1" applyFill="1" applyBorder="1" applyProtection="1">
      <protection locked="0"/>
    </xf>
    <xf numFmtId="2" fontId="0" fillId="0" borderId="0" xfId="0" applyNumberFormat="1" applyFont="1" applyFill="1" applyBorder="1" applyProtection="1">
      <protection locked="0"/>
    </xf>
    <xf numFmtId="2" fontId="0" fillId="0" borderId="1" xfId="0" applyNumberFormat="1" applyFont="1" applyFill="1" applyBorder="1"/>
    <xf numFmtId="2" fontId="23" fillId="0" borderId="0" xfId="0" applyNumberFormat="1" applyFont="1" applyFill="1" applyBorder="1"/>
    <xf numFmtId="2" fontId="0" fillId="0" borderId="18" xfId="0" applyNumberFormat="1" applyFill="1" applyBorder="1"/>
    <xf numFmtId="164" fontId="0" fillId="2" borderId="0" xfId="0" applyNumberFormat="1" applyFont="1" applyFill="1"/>
    <xf numFmtId="164" fontId="2" fillId="2" borderId="30" xfId="0" applyNumberFormat="1" applyFont="1" applyFill="1" applyBorder="1"/>
    <xf numFmtId="164" fontId="2" fillId="2" borderId="29" xfId="0" applyNumberFormat="1" applyFont="1" applyFill="1" applyBorder="1"/>
    <xf numFmtId="2" fontId="0" fillId="0" borderId="0" xfId="0" applyNumberFormat="1" applyFont="1" applyBorder="1"/>
    <xf numFmtId="0" fontId="6" fillId="0" borderId="0" xfId="0" applyFont="1" applyFill="1" applyBorder="1"/>
    <xf numFmtId="164" fontId="19" fillId="9" borderId="0" xfId="0" applyNumberFormat="1" applyFont="1" applyFill="1"/>
    <xf numFmtId="2" fontId="0" fillId="26" borderId="39" xfId="0" applyNumberFormat="1" applyFont="1" applyFill="1" applyBorder="1"/>
    <xf numFmtId="0" fontId="0" fillId="6" borderId="0" xfId="0" applyFont="1" applyFill="1"/>
    <xf numFmtId="2" fontId="0" fillId="26" borderId="17" xfId="0" applyNumberFormat="1" applyFont="1" applyFill="1" applyBorder="1"/>
    <xf numFmtId="2" fontId="0" fillId="2" borderId="29" xfId="0" applyNumberFormat="1" applyFont="1" applyFill="1" applyBorder="1"/>
    <xf numFmtId="1" fontId="0" fillId="2" borderId="29" xfId="0" applyNumberFormat="1" applyFont="1" applyFill="1" applyBorder="1"/>
    <xf numFmtId="1" fontId="0" fillId="2" borderId="0" xfId="0" applyNumberFormat="1" applyFont="1" applyFill="1"/>
    <xf numFmtId="2" fontId="0" fillId="11" borderId="1" xfId="0" applyNumberFormat="1" applyFont="1" applyFill="1" applyBorder="1"/>
    <xf numFmtId="2" fontId="0" fillId="11" borderId="0" xfId="0" applyNumberFormat="1" applyFont="1" applyFill="1"/>
    <xf numFmtId="2" fontId="0" fillId="13" borderId="0" xfId="0" applyNumberFormat="1" applyFont="1" applyFill="1"/>
    <xf numFmtId="2" fontId="0" fillId="12" borderId="0" xfId="0" applyNumberFormat="1" applyFont="1" applyFill="1"/>
    <xf numFmtId="164" fontId="0" fillId="12" borderId="34" xfId="0" applyNumberFormat="1" applyFont="1" applyFill="1" applyBorder="1"/>
    <xf numFmtId="164" fontId="0" fillId="12" borderId="22" xfId="0" applyNumberFormat="1" applyFont="1" applyFill="1" applyBorder="1"/>
    <xf numFmtId="2" fontId="0" fillId="12" borderId="39" xfId="0" applyNumberFormat="1" applyFont="1" applyFill="1" applyBorder="1"/>
    <xf numFmtId="164" fontId="19" fillId="12" borderId="0" xfId="0" applyNumberFormat="1" applyFont="1" applyFill="1"/>
    <xf numFmtId="164" fontId="0" fillId="7" borderId="0" xfId="0" applyNumberFormat="1" applyFont="1" applyFill="1"/>
    <xf numFmtId="164" fontId="0" fillId="7" borderId="0" xfId="0" applyNumberFormat="1" applyFont="1" applyFill="1" applyBorder="1"/>
    <xf numFmtId="164" fontId="0" fillId="15" borderId="0" xfId="0" applyNumberFormat="1" applyFont="1" applyFill="1"/>
    <xf numFmtId="164" fontId="0" fillId="7" borderId="0" xfId="0" applyNumberFormat="1" applyFill="1"/>
    <xf numFmtId="164" fontId="0" fillId="7" borderId="0" xfId="0" applyNumberFormat="1" applyFont="1" applyFill="1" applyBorder="1"/>
    <xf numFmtId="164" fontId="0" fillId="15" borderId="0" xfId="0" applyNumberFormat="1" applyFill="1"/>
    <xf numFmtId="164" fontId="0" fillId="7" borderId="27" xfId="0" applyNumberFormat="1" applyFill="1" applyBorder="1"/>
    <xf numFmtId="164" fontId="0" fillId="7" borderId="18" xfId="0" applyNumberFormat="1" applyFill="1" applyBorder="1"/>
    <xf numFmtId="164" fontId="0" fillId="7" borderId="18" xfId="0" applyNumberFormat="1" applyFont="1" applyFill="1" applyBorder="1"/>
    <xf numFmtId="164" fontId="9" fillId="2" borderId="7" xfId="0" applyNumberFormat="1" applyFont="1" applyFill="1" applyBorder="1" applyAlignment="1">
      <alignment horizontal="center"/>
    </xf>
    <xf numFmtId="0" fontId="8" fillId="0" borderId="0" xfId="0" applyFont="1" applyAlignment="1">
      <alignment horizontal="right"/>
    </xf>
    <xf numFmtId="0" fontId="8" fillId="0" borderId="0" xfId="0" applyFont="1" applyAlignment="1">
      <alignment horizontal="center"/>
    </xf>
    <xf numFmtId="3" fontId="21" fillId="0" borderId="0" xfId="0" applyNumberFormat="1" applyFont="1" applyAlignment="1">
      <alignment horizontal="center"/>
    </xf>
    <xf numFmtId="2" fontId="8" fillId="0" borderId="0" xfId="0" applyNumberFormat="1" applyFont="1" applyAlignment="1">
      <alignment horizontal="center"/>
    </xf>
    <xf numFmtId="169" fontId="8" fillId="0" borderId="0" xfId="0" applyNumberFormat="1" applyFont="1" applyAlignment="1">
      <alignment horizontal="center"/>
    </xf>
    <xf numFmtId="169" fontId="0" fillId="0" borderId="0" xfId="0" applyNumberFormat="1" applyAlignment="1">
      <alignment horizontal="center"/>
    </xf>
    <xf numFmtId="0" fontId="42" fillId="0" borderId="0" xfId="0" applyFont="1" applyAlignment="1">
      <alignment horizontal="center"/>
    </xf>
    <xf numFmtId="169" fontId="43" fillId="0" borderId="0" xfId="0" applyNumberFormat="1" applyFont="1" applyAlignment="1">
      <alignment horizontal="center"/>
    </xf>
    <xf numFmtId="1" fontId="30" fillId="2" borderId="6" xfId="0" applyNumberFormat="1" applyFont="1" applyFill="1" applyBorder="1"/>
    <xf numFmtId="1" fontId="7" fillId="0" borderId="8" xfId="0" applyNumberFormat="1" applyFont="1" applyFill="1" applyBorder="1"/>
    <xf numFmtId="1" fontId="20" fillId="0" borderId="8" xfId="0" applyNumberFormat="1" applyFont="1" applyFill="1" applyBorder="1"/>
    <xf numFmtId="0" fontId="21" fillId="0" borderId="0" xfId="0" applyFont="1" applyFill="1" applyBorder="1"/>
    <xf numFmtId="0" fontId="21" fillId="0" borderId="0" xfId="0" applyFont="1" applyFill="1" applyBorder="1" applyAlignment="1">
      <alignment horizontal="right"/>
    </xf>
    <xf numFmtId="164" fontId="21" fillId="0" borderId="0" xfId="0" applyNumberFormat="1" applyFont="1" applyFill="1" applyBorder="1"/>
    <xf numFmtId="0" fontId="21" fillId="0" borderId="0" xfId="0" applyFont="1" applyFill="1" applyBorder="1" applyAlignment="1">
      <alignment horizontal="left"/>
    </xf>
    <xf numFmtId="0" fontId="2" fillId="0" borderId="0" xfId="0" applyFont="1" applyFill="1" applyBorder="1" applyAlignment="1">
      <alignment horizontal="center"/>
    </xf>
    <xf numFmtId="0" fontId="9" fillId="0" borderId="0" xfId="0" applyFont="1" applyFill="1" applyBorder="1" applyAlignment="1">
      <alignment horizontal="center"/>
    </xf>
    <xf numFmtId="0" fontId="8" fillId="0" borderId="0" xfId="0" applyFont="1" applyFill="1" applyBorder="1"/>
    <xf numFmtId="1" fontId="8" fillId="0" borderId="0" xfId="0" applyNumberFormat="1" applyFont="1" applyFill="1" applyBorder="1"/>
    <xf numFmtId="0" fontId="2" fillId="6" borderId="0" xfId="0" applyFont="1" applyFill="1"/>
    <xf numFmtId="164" fontId="6" fillId="10" borderId="1" xfId="0" applyNumberFormat="1" applyFont="1" applyFill="1" applyBorder="1"/>
    <xf numFmtId="164" fontId="6" fillId="9" borderId="1" xfId="0" applyNumberFormat="1" applyFont="1" applyFill="1" applyBorder="1"/>
    <xf numFmtId="164" fontId="6" fillId="9" borderId="0" xfId="0" applyNumberFormat="1" applyFont="1" applyFill="1"/>
    <xf numFmtId="2" fontId="19" fillId="9" borderId="0" xfId="0" applyNumberFormat="1" applyFont="1" applyFill="1"/>
    <xf numFmtId="165" fontId="19" fillId="0" borderId="0" xfId="0" applyNumberFormat="1" applyFont="1" applyFill="1" applyBorder="1"/>
    <xf numFmtId="165" fontId="0" fillId="0" borderId="34" xfId="0" applyNumberFormat="1" applyFont="1" applyFill="1" applyBorder="1"/>
    <xf numFmtId="165" fontId="0" fillId="0" borderId="22" xfId="0" applyNumberFormat="1" applyFont="1" applyFill="1" applyBorder="1"/>
    <xf numFmtId="165" fontId="0" fillId="0" borderId="39" xfId="0" applyNumberFormat="1" applyFont="1" applyFill="1" applyBorder="1"/>
    <xf numFmtId="165" fontId="19" fillId="9" borderId="0" xfId="0" applyNumberFormat="1" applyFont="1" applyFill="1"/>
    <xf numFmtId="165" fontId="0" fillId="0" borderId="4" xfId="0" applyNumberFormat="1" applyFont="1" applyFill="1" applyBorder="1" applyAlignment="1">
      <alignment horizontal="right"/>
    </xf>
    <xf numFmtId="165" fontId="0" fillId="0" borderId="10" xfId="0" applyNumberFormat="1" applyFont="1" applyFill="1" applyBorder="1"/>
    <xf numFmtId="165" fontId="0" fillId="0" borderId="24" xfId="0" applyNumberFormat="1" applyFont="1" applyFill="1" applyBorder="1"/>
    <xf numFmtId="165" fontId="0" fillId="0" borderId="17" xfId="0" applyNumberFormat="1" applyFont="1" applyFill="1" applyBorder="1"/>
    <xf numFmtId="165" fontId="0" fillId="0" borderId="2" xfId="0" applyNumberFormat="1" applyFont="1" applyFill="1" applyBorder="1" applyAlignment="1">
      <alignment horizontal="right"/>
    </xf>
    <xf numFmtId="164" fontId="27" fillId="2" borderId="0" xfId="0" applyNumberFormat="1" applyFont="1" applyFill="1"/>
    <xf numFmtId="164" fontId="0" fillId="2" borderId="1" xfId="0" applyNumberFormat="1" applyFont="1" applyFill="1" applyBorder="1"/>
    <xf numFmtId="165" fontId="19" fillId="0" borderId="0" xfId="0" applyNumberFormat="1" applyFont="1"/>
    <xf numFmtId="165" fontId="0" fillId="0" borderId="25" xfId="0" applyNumberFormat="1" applyFont="1" applyFill="1" applyBorder="1" applyAlignment="1">
      <alignment horizontal="center"/>
    </xf>
    <xf numFmtId="165" fontId="0" fillId="0" borderId="33" xfId="0" applyNumberFormat="1" applyFont="1" applyFill="1" applyBorder="1" applyAlignment="1" quotePrefix="1">
      <alignment horizontal="center"/>
    </xf>
    <xf numFmtId="165" fontId="27" fillId="0" borderId="34" xfId="0" applyNumberFormat="1" applyFont="1" applyFill="1" applyBorder="1"/>
    <xf numFmtId="165" fontId="0" fillId="0" borderId="34" xfId="0" applyNumberFormat="1" applyFill="1" applyBorder="1"/>
    <xf numFmtId="164" fontId="0" fillId="0" borderId="25" xfId="0" applyNumberFormat="1" applyFont="1" applyFill="1" applyBorder="1" applyAlignment="1">
      <alignment horizontal="center"/>
    </xf>
    <xf numFmtId="164" fontId="0" fillId="0" borderId="33" xfId="0" applyNumberFormat="1" applyFont="1" applyFill="1" applyBorder="1" applyAlignment="1" quotePrefix="1">
      <alignment horizontal="center"/>
    </xf>
    <xf numFmtId="164" fontId="0" fillId="0" borderId="14" xfId="0" applyNumberFormat="1" applyFont="1" applyFill="1" applyBorder="1" applyAlignment="1">
      <alignment horizontal="center"/>
    </xf>
    <xf numFmtId="164" fontId="0" fillId="0" borderId="5" xfId="0" applyNumberFormat="1" applyFont="1" applyFill="1" applyBorder="1" applyAlignment="1">
      <alignment horizontal="right"/>
    </xf>
    <xf numFmtId="164" fontId="27" fillId="0" borderId="22" xfId="0" applyNumberFormat="1" applyFont="1" applyFill="1" applyBorder="1"/>
    <xf numFmtId="164" fontId="27" fillId="0" borderId="39" xfId="0" applyNumberFormat="1" applyFont="1" applyFill="1" applyBorder="1"/>
    <xf numFmtId="164" fontId="0" fillId="0" borderId="22" xfId="0" applyNumberFormat="1" applyFill="1" applyBorder="1"/>
    <xf numFmtId="164" fontId="0" fillId="0" borderId="39" xfId="0" applyNumberFormat="1" applyFill="1" applyBorder="1"/>
    <xf numFmtId="164" fontId="27" fillId="0" borderId="24" xfId="0" applyNumberFormat="1" applyFont="1" applyFill="1" applyBorder="1"/>
    <xf numFmtId="164" fontId="27" fillId="0" borderId="17" xfId="0" applyNumberFormat="1" applyFont="1" applyFill="1" applyBorder="1"/>
    <xf numFmtId="165" fontId="19" fillId="0" borderId="0" xfId="0" applyNumberFormat="1" applyFont="1" applyFill="1"/>
    <xf numFmtId="165" fontId="27" fillId="0" borderId="10" xfId="0" applyNumberFormat="1" applyFont="1" applyFill="1" applyBorder="1"/>
    <xf numFmtId="0" fontId="27" fillId="6" borderId="0" xfId="0" applyFont="1" applyFill="1"/>
    <xf numFmtId="2" fontId="27" fillId="2" borderId="29" xfId="0" applyNumberFormat="1" applyFont="1" applyFill="1" applyBorder="1"/>
    <xf numFmtId="2" fontId="27" fillId="14" borderId="34" xfId="0" applyNumberFormat="1" applyFont="1" applyFill="1" applyBorder="1" applyAlignment="1">
      <alignment horizontal="right"/>
    </xf>
    <xf numFmtId="2" fontId="27" fillId="14" borderId="10" xfId="0" applyNumberFormat="1" applyFont="1" applyFill="1" applyBorder="1" applyAlignment="1">
      <alignment horizontal="right"/>
    </xf>
    <xf numFmtId="2" fontId="19" fillId="0" borderId="0" xfId="0" applyNumberFormat="1" applyFont="1" applyFill="1" applyBorder="1"/>
    <xf numFmtId="164" fontId="2" fillId="7" borderId="16" xfId="0" applyNumberFormat="1" applyFont="1" applyFill="1" applyBorder="1" applyAlignment="1">
      <alignment horizontal="center"/>
    </xf>
    <xf numFmtId="164" fontId="2" fillId="7" borderId="17" xfId="0" applyNumberFormat="1" applyFont="1" applyFill="1" applyBorder="1" applyAlignment="1">
      <alignment horizontal="center"/>
    </xf>
    <xf numFmtId="164" fontId="2" fillId="7" borderId="0" xfId="0" applyNumberFormat="1" applyFont="1" applyFill="1" applyBorder="1"/>
    <xf numFmtId="164" fontId="2" fillId="7" borderId="0" xfId="0" applyNumberFormat="1" applyFont="1" applyFill="1"/>
    <xf numFmtId="164" fontId="2" fillId="12" borderId="0" xfId="0" applyNumberFormat="1" applyFont="1" applyFill="1"/>
    <xf numFmtId="164" fontId="8" fillId="0" borderId="0" xfId="0" applyNumberFormat="1" applyFont="1"/>
    <xf numFmtId="1" fontId="27" fillId="16" borderId="0" xfId="0" applyNumberFormat="1" applyFont="1" applyFill="1" applyBorder="1" applyAlignment="1">
      <alignment horizontal="center"/>
    </xf>
    <xf numFmtId="2" fontId="27" fillId="0" borderId="0" xfId="0" applyNumberFormat="1" applyFont="1" applyBorder="1" applyAlignment="1">
      <alignment horizontal="center"/>
    </xf>
    <xf numFmtId="2" fontId="45" fillId="0" borderId="0" xfId="0" applyNumberFormat="1" applyFont="1" applyBorder="1" applyAlignment="1">
      <alignment horizontal="center"/>
    </xf>
    <xf numFmtId="3" fontId="27" fillId="0" borderId="0" xfId="0" applyNumberFormat="1" applyFont="1" applyBorder="1" applyAlignment="1">
      <alignment horizontal="center"/>
    </xf>
    <xf numFmtId="4" fontId="0" fillId="0" borderId="0" xfId="0" applyNumberFormat="1" applyFont="1" applyFill="1" applyBorder="1" applyAlignment="1">
      <alignment horizontal="right"/>
    </xf>
    <xf numFmtId="4" fontId="0" fillId="0" borderId="0" xfId="0" applyNumberFormat="1" applyFont="1" applyBorder="1" applyAlignment="1">
      <alignment horizontal="right"/>
    </xf>
    <xf numFmtId="165" fontId="0" fillId="27" borderId="38" xfId="0" applyNumberFormat="1" applyFill="1" applyBorder="1" applyAlignment="1">
      <alignment horizontal="center"/>
    </xf>
    <xf numFmtId="164" fontId="0" fillId="27" borderId="0" xfId="0" applyNumberFormat="1" applyFont="1" applyFill="1" applyAlignment="1">
      <alignment horizontal="center"/>
    </xf>
    <xf numFmtId="164" fontId="0" fillId="27" borderId="0" xfId="0" applyNumberFormat="1" applyFill="1" applyAlignment="1">
      <alignment horizontal="center"/>
    </xf>
    <xf numFmtId="1" fontId="27" fillId="25" borderId="0" xfId="0" applyNumberFormat="1" applyFont="1" applyFill="1"/>
    <xf numFmtId="1" fontId="0" fillId="25" borderId="0" xfId="0" applyNumberFormat="1" applyFill="1"/>
    <xf numFmtId="1" fontId="29" fillId="25" borderId="0" xfId="0" applyNumberFormat="1" applyFont="1" applyFill="1"/>
    <xf numFmtId="1" fontId="0" fillId="25" borderId="0" xfId="0" applyNumberFormat="1" applyFont="1" applyFill="1"/>
    <xf numFmtId="2" fontId="0" fillId="25" borderId="19" xfId="0" applyNumberFormat="1" applyFill="1" applyBorder="1" applyAlignment="1">
      <alignment horizontal="center"/>
    </xf>
    <xf numFmtId="165" fontId="0" fillId="25" borderId="38" xfId="0" applyNumberFormat="1" applyFill="1" applyBorder="1" applyAlignment="1">
      <alignment horizontal="center"/>
    </xf>
    <xf numFmtId="2" fontId="0" fillId="27" borderId="38" xfId="0" applyNumberFormat="1" applyFill="1" applyBorder="1" applyAlignment="1">
      <alignment horizontal="center"/>
    </xf>
    <xf numFmtId="0" fontId="0" fillId="27" borderId="38" xfId="0" applyFill="1" applyBorder="1" applyAlignment="1">
      <alignment horizontal="center"/>
    </xf>
    <xf numFmtId="0" fontId="0" fillId="27" borderId="0" xfId="0" applyFill="1" applyAlignment="1">
      <alignment horizontal="center"/>
    </xf>
    <xf numFmtId="164" fontId="0" fillId="0" borderId="8" xfId="0" applyNumberFormat="1" applyBorder="1"/>
    <xf numFmtId="164" fontId="18" fillId="8" borderId="0" xfId="0" applyNumberFormat="1" applyFont="1" applyFill="1"/>
    <xf numFmtId="164" fontId="6" fillId="0" borderId="0" xfId="0" applyNumberFormat="1" applyFont="1" applyFill="1" applyBorder="1" applyAlignment="1">
      <alignment horizontal="center"/>
    </xf>
    <xf numFmtId="164" fontId="0" fillId="4" borderId="0" xfId="0" applyNumberFormat="1" applyFill="1"/>
    <xf numFmtId="164" fontId="7" fillId="0" borderId="0" xfId="0" applyNumberFormat="1" applyFont="1" applyBorder="1" applyAlignment="1">
      <alignment horizontal="center"/>
    </xf>
    <xf numFmtId="164" fontId="10" fillId="3" borderId="0" xfId="0" applyNumberFormat="1" applyFont="1" applyFill="1" applyAlignment="1">
      <alignment horizontal="center"/>
    </xf>
    <xf numFmtId="164" fontId="0" fillId="0" borderId="10" xfId="0" applyNumberFormat="1" applyBorder="1"/>
    <xf numFmtId="164" fontId="0" fillId="0" borderId="0" xfId="0" applyNumberFormat="1" applyBorder="1"/>
    <xf numFmtId="164" fontId="0" fillId="0" borderId="28" xfId="0" applyNumberFormat="1" applyBorder="1"/>
    <xf numFmtId="164" fontId="0" fillId="14" borderId="0" xfId="0" applyNumberFormat="1" applyFill="1" applyBorder="1"/>
    <xf numFmtId="2" fontId="2" fillId="0" borderId="0" xfId="0" applyNumberFormat="1" applyFont="1" applyBorder="1"/>
    <xf numFmtId="165" fontId="0" fillId="0" borderId="38" xfId="0" applyNumberFormat="1" applyFill="1" applyBorder="1" applyAlignment="1">
      <alignment horizontal="center"/>
    </xf>
    <xf numFmtId="1" fontId="46" fillId="0" borderId="0" xfId="0" applyNumberFormat="1" applyFont="1" applyFill="1" applyBorder="1" applyAlignment="1">
      <alignment horizontal="right"/>
    </xf>
    <xf numFmtId="2" fontId="47" fillId="16" borderId="0" xfId="0" applyNumberFormat="1" applyFont="1" applyFill="1" applyAlignment="1">
      <alignment horizontal="center"/>
    </xf>
    <xf numFmtId="0" fontId="48" fillId="0" borderId="0" xfId="0" applyNumberFormat="1" applyFont="1" applyBorder="1" applyAlignment="1">
      <alignment horizontal="center"/>
    </xf>
    <xf numFmtId="2" fontId="47" fillId="16" borderId="0" xfId="0" applyNumberFormat="1" applyFont="1" applyFill="1" applyBorder="1" applyAlignment="1">
      <alignment horizontal="center"/>
    </xf>
    <xf numFmtId="2" fontId="48" fillId="0" borderId="0" xfId="0" applyNumberFormat="1" applyFont="1" applyBorder="1" applyAlignment="1">
      <alignment horizontal="center"/>
    </xf>
    <xf numFmtId="3" fontId="48" fillId="0" borderId="0" xfId="0" applyNumberFormat="1" applyFont="1" applyBorder="1" applyAlignment="1">
      <alignment horizontal="center" vertical="center" wrapText="1"/>
    </xf>
    <xf numFmtId="168" fontId="47" fillId="16" borderId="0" xfId="0" applyNumberFormat="1" applyFont="1" applyFill="1" applyAlignment="1">
      <alignment horizontal="center"/>
    </xf>
    <xf numFmtId="2" fontId="2" fillId="12" borderId="0" xfId="0" applyNumberFormat="1" applyFont="1" applyFill="1" applyAlignment="1">
      <alignment horizontal="center"/>
    </xf>
    <xf numFmtId="0" fontId="0" fillId="25" borderId="0" xfId="0" applyFont="1" applyFill="1" applyAlignment="1">
      <alignment horizontal="center" vertical="center" wrapText="1"/>
    </xf>
    <xf numFmtId="0" fontId="0" fillId="0" borderId="38" xfId="0" applyFont="1" applyBorder="1" applyAlignment="1">
      <alignment horizontal="center" wrapText="1"/>
    </xf>
    <xf numFmtId="0" fontId="0" fillId="0" borderId="19" xfId="0" applyFont="1" applyBorder="1" applyAlignment="1">
      <alignment horizontal="center"/>
    </xf>
    <xf numFmtId="0" fontId="0" fillId="0" borderId="36" xfId="0" applyFont="1" applyBorder="1" applyAlignment="1">
      <alignment horizontal="center"/>
    </xf>
    <xf numFmtId="0" fontId="0" fillId="0" borderId="20" xfId="0" applyFont="1" applyBorder="1" applyAlignment="1">
      <alignment horizontal="center"/>
    </xf>
    <xf numFmtId="0" fontId="0" fillId="0" borderId="3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Font="1" applyAlignment="1">
      <alignment horizontal="center" wrapText="1"/>
    </xf>
    <xf numFmtId="0" fontId="0" fillId="0" borderId="19" xfId="0" applyBorder="1" applyAlignment="1">
      <alignment horizontal="center"/>
    </xf>
    <xf numFmtId="0" fontId="0" fillId="0" borderId="32" xfId="0" applyFont="1" applyBorder="1" applyAlignment="1">
      <alignment horizontal="center" wrapText="1"/>
    </xf>
    <xf numFmtId="0" fontId="0" fillId="0" borderId="23" xfId="0" applyFont="1" applyBorder="1" applyAlignment="1">
      <alignment horizontal="center" wrapText="1"/>
    </xf>
    <xf numFmtId="2" fontId="40" fillId="25" borderId="19" xfId="0" applyNumberFormat="1" applyFont="1" applyFill="1" applyBorder="1" applyAlignment="1">
      <alignment horizontal="center"/>
    </xf>
    <xf numFmtId="2" fontId="29" fillId="12" borderId="1" xfId="0" applyNumberFormat="1" applyFont="1" applyFill="1" applyBorder="1"/>
    <xf numFmtId="2" fontId="29" fillId="7" borderId="0" xfId="0" applyNumberFormat="1" applyFont="1" applyFill="1"/>
    <xf numFmtId="2" fontId="29" fillId="12" borderId="25" xfId="0" applyNumberFormat="1" applyFont="1" applyFill="1" applyBorder="1" applyAlignment="1">
      <alignment horizontal="center"/>
    </xf>
    <xf numFmtId="2" fontId="29" fillId="12" borderId="33" xfId="0" applyNumberFormat="1" applyFont="1" applyFill="1" applyBorder="1" applyAlignment="1" quotePrefix="1">
      <alignment horizontal="center"/>
    </xf>
    <xf numFmtId="0" fontId="29" fillId="12" borderId="14" xfId="0" applyFont="1" applyFill="1" applyBorder="1" applyAlignment="1">
      <alignment horizontal="center"/>
    </xf>
    <xf numFmtId="2" fontId="29" fillId="12" borderId="0" xfId="0" applyNumberFormat="1" applyFont="1" applyFill="1" applyAlignment="1">
      <alignment horizontal="center"/>
    </xf>
    <xf numFmtId="2" fontId="29" fillId="12" borderId="5" xfId="0" applyNumberFormat="1" applyFont="1" applyFill="1" applyBorder="1" applyAlignment="1">
      <alignment horizontal="center"/>
    </xf>
    <xf numFmtId="2" fontId="29" fillId="12" borderId="14" xfId="0" applyNumberFormat="1" applyFont="1" applyFill="1" applyBorder="1" applyAlignment="1">
      <alignment horizontal="center"/>
    </xf>
    <xf numFmtId="2" fontId="29" fillId="12" borderId="0" xfId="0" applyNumberFormat="1" applyFont="1" applyFill="1"/>
    <xf numFmtId="2" fontId="29" fillId="12" borderId="39" xfId="0" applyNumberFormat="1" applyFont="1" applyFill="1" applyBorder="1"/>
    <xf numFmtId="2" fontId="50" fillId="7" borderId="1" xfId="0" applyNumberFormat="1" applyFont="1" applyFill="1" applyBorder="1"/>
    <xf numFmtId="2" fontId="29" fillId="11" borderId="1" xfId="0" applyNumberFormat="1" applyFont="1" applyFill="1" applyBorder="1"/>
    <xf numFmtId="2" fontId="29" fillId="11" borderId="0" xfId="0" applyNumberFormat="1" applyFont="1" applyFill="1"/>
    <xf numFmtId="2" fontId="29" fillId="11" borderId="34" xfId="0" applyNumberFormat="1" applyFont="1" applyFill="1" applyBorder="1"/>
    <xf numFmtId="2" fontId="29" fillId="11" borderId="22" xfId="0" applyNumberFormat="1" applyFont="1" applyFill="1" applyBorder="1"/>
    <xf numFmtId="2" fontId="29" fillId="11" borderId="39" xfId="0" applyNumberFormat="1" applyFont="1" applyFill="1" applyBorder="1"/>
    <xf numFmtId="2" fontId="29" fillId="11" borderId="4" xfId="0" applyNumberFormat="1" applyFont="1" applyFill="1" applyBorder="1"/>
    <xf numFmtId="2" fontId="50" fillId="11" borderId="1" xfId="0" applyNumberFormat="1" applyFont="1" applyFill="1" applyBorder="1"/>
    <xf numFmtId="2" fontId="29" fillId="13" borderId="1" xfId="0" applyNumberFormat="1" applyFont="1" applyFill="1" applyBorder="1"/>
    <xf numFmtId="2" fontId="29" fillId="13" borderId="0" xfId="0" applyNumberFormat="1" applyFont="1" applyFill="1"/>
    <xf numFmtId="2" fontId="29" fillId="13" borderId="34" xfId="0" applyNumberFormat="1" applyFont="1" applyFill="1" applyBorder="1"/>
    <xf numFmtId="2" fontId="29" fillId="13" borderId="22" xfId="0" applyNumberFormat="1" applyFont="1" applyFill="1" applyBorder="1"/>
    <xf numFmtId="2" fontId="29" fillId="13" borderId="39" xfId="0" applyNumberFormat="1" applyFont="1" applyFill="1" applyBorder="1"/>
    <xf numFmtId="2" fontId="29" fillId="13" borderId="4" xfId="0" applyNumberFormat="1" applyFont="1" applyFill="1" applyBorder="1"/>
    <xf numFmtId="2" fontId="50" fillId="13" borderId="1" xfId="0" applyNumberFormat="1" applyFont="1" applyFill="1" applyBorder="1"/>
    <xf numFmtId="2" fontId="29" fillId="11" borderId="10" xfId="0" applyNumberFormat="1" applyFont="1" applyFill="1" applyBorder="1"/>
    <xf numFmtId="2" fontId="29" fillId="11" borderId="24" xfId="0" applyNumberFormat="1" applyFont="1" applyFill="1" applyBorder="1"/>
    <xf numFmtId="2" fontId="29" fillId="11" borderId="17" xfId="0" applyNumberFormat="1" applyFont="1" applyFill="1" applyBorder="1"/>
    <xf numFmtId="2" fontId="29" fillId="11" borderId="2" xfId="0" applyNumberFormat="1" applyFont="1" applyFill="1" applyBorder="1"/>
    <xf numFmtId="2" fontId="29" fillId="14" borderId="25" xfId="0" applyNumberFormat="1" applyFont="1" applyFill="1" applyBorder="1" applyAlignment="1">
      <alignment horizontal="center"/>
    </xf>
    <xf numFmtId="2" fontId="29" fillId="14" borderId="33" xfId="0" applyNumberFormat="1" applyFont="1" applyFill="1" applyBorder="1" applyAlignment="1" quotePrefix="1">
      <alignment horizontal="center"/>
    </xf>
    <xf numFmtId="0" fontId="29" fillId="14" borderId="14" xfId="0" applyFont="1" applyFill="1" applyBorder="1" applyAlignment="1">
      <alignment horizontal="center"/>
    </xf>
    <xf numFmtId="2" fontId="29" fillId="14" borderId="0" xfId="0" applyNumberFormat="1" applyFont="1" applyFill="1" applyAlignment="1">
      <alignment horizontal="center"/>
    </xf>
    <xf numFmtId="2" fontId="29" fillId="14" borderId="5" xfId="0" applyNumberFormat="1" applyFont="1" applyFill="1" applyBorder="1" applyAlignment="1">
      <alignment horizontal="center"/>
    </xf>
    <xf numFmtId="2" fontId="29" fillId="14" borderId="14" xfId="0" applyNumberFormat="1" applyFont="1" applyFill="1" applyBorder="1" applyAlignment="1">
      <alignment horizontal="center"/>
    </xf>
    <xf numFmtId="164" fontId="29" fillId="2" borderId="0" xfId="0" applyNumberFormat="1" applyFont="1" applyFill="1"/>
    <xf numFmtId="164" fontId="50" fillId="2" borderId="1" xfId="0" applyNumberFormat="1" applyFont="1" applyFill="1" applyBorder="1"/>
    <xf numFmtId="0" fontId="29" fillId="6" borderId="0" xfId="0" applyFont="1" applyFill="1"/>
    <xf numFmtId="2" fontId="29" fillId="2" borderId="0" xfId="0" applyNumberFormat="1" applyFont="1" applyFill="1" applyBorder="1"/>
    <xf numFmtId="1" fontId="29" fillId="2" borderId="29" xfId="0" applyNumberFormat="1" applyFont="1" applyFill="1" applyBorder="1"/>
    <xf numFmtId="1" fontId="29" fillId="2" borderId="0" xfId="0" applyNumberFormat="1" applyFont="1" applyFill="1"/>
    <xf numFmtId="1" fontId="50" fillId="2" borderId="1" xfId="0" applyNumberFormat="1" applyFont="1" applyFill="1" applyBorder="1"/>
    <xf numFmtId="164" fontId="29" fillId="2" borderId="39" xfId="0" applyNumberFormat="1" applyFont="1" applyFill="1" applyBorder="1"/>
    <xf numFmtId="2" fontId="29" fillId="2" borderId="29" xfId="0" applyNumberFormat="1" applyFont="1" applyFill="1" applyBorder="1"/>
    <xf numFmtId="164" fontId="29" fillId="2" borderId="34" xfId="0" applyNumberFormat="1" applyFont="1" applyFill="1" applyBorder="1"/>
    <xf numFmtId="164" fontId="29" fillId="2" borderId="22" xfId="0" applyNumberFormat="1" applyFont="1" applyFill="1" applyBorder="1"/>
    <xf numFmtId="164" fontId="29" fillId="2" borderId="4" xfId="0" applyNumberFormat="1" applyFont="1" applyFill="1" applyBorder="1"/>
    <xf numFmtId="2" fontId="0" fillId="12" borderId="0" xfId="0" applyNumberFormat="1" applyFont="1" applyFill="1" applyBorder="1"/>
    <xf numFmtId="2" fontId="52" fillId="2" borderId="0" xfId="0" applyNumberFormat="1" applyFont="1" applyFill="1" applyBorder="1"/>
    <xf numFmtId="2" fontId="30" fillId="2" borderId="0" xfId="0" applyNumberFormat="1" applyFont="1" applyFill="1" applyBorder="1"/>
    <xf numFmtId="164" fontId="7" fillId="12" borderId="6" xfId="0" applyNumberFormat="1" applyFont="1" applyFill="1" applyBorder="1"/>
    <xf numFmtId="0" fontId="0" fillId="0" borderId="0" xfId="0" applyFill="1" applyProtection="1">
      <protection locked="0"/>
    </xf>
    <xf numFmtId="0" fontId="0" fillId="0" borderId="0" xfId="0" applyBorder="1" applyAlignment="1">
      <alignment/>
    </xf>
    <xf numFmtId="2" fontId="29" fillId="12" borderId="25" xfId="0" applyNumberFormat="1" applyFont="1" applyFill="1" applyBorder="1" applyAlignment="1">
      <alignment horizontal="right"/>
    </xf>
    <xf numFmtId="2" fontId="29" fillId="12" borderId="33" xfId="0" applyNumberFormat="1" applyFont="1" applyFill="1" applyBorder="1" applyAlignment="1" quotePrefix="1">
      <alignment horizontal="right"/>
    </xf>
    <xf numFmtId="0" fontId="29" fillId="12" borderId="14" xfId="0" applyFont="1" applyFill="1" applyBorder="1" applyAlignment="1">
      <alignment horizontal="right"/>
    </xf>
    <xf numFmtId="164" fontId="53" fillId="12" borderId="0" xfId="0" applyNumberFormat="1" applyFont="1" applyFill="1"/>
    <xf numFmtId="2" fontId="29" fillId="12" borderId="5" xfId="0" applyNumberFormat="1" applyFont="1" applyFill="1" applyBorder="1" applyAlignment="1">
      <alignment horizontal="right"/>
    </xf>
    <xf numFmtId="2" fontId="29" fillId="2" borderId="1" xfId="0" applyNumberFormat="1" applyFont="1" applyFill="1" applyBorder="1"/>
    <xf numFmtId="2" fontId="29" fillId="14" borderId="25" xfId="0" applyNumberFormat="1" applyFont="1" applyFill="1" applyBorder="1" applyAlignment="1">
      <alignment horizontal="right"/>
    </xf>
    <xf numFmtId="2" fontId="29" fillId="14" borderId="33" xfId="0" applyNumberFormat="1" applyFont="1" applyFill="1" applyBorder="1" applyAlignment="1" quotePrefix="1">
      <alignment horizontal="right"/>
    </xf>
    <xf numFmtId="0" fontId="29" fillId="14" borderId="14" xfId="0" applyFont="1" applyFill="1" applyBorder="1" applyAlignment="1">
      <alignment horizontal="right"/>
    </xf>
    <xf numFmtId="164" fontId="53" fillId="14" borderId="0" xfId="0" applyNumberFormat="1" applyFont="1" applyFill="1"/>
    <xf numFmtId="2" fontId="29" fillId="14" borderId="5" xfId="0" applyNumberFormat="1" applyFont="1" applyFill="1" applyBorder="1" applyAlignment="1">
      <alignment horizontal="right"/>
    </xf>
    <xf numFmtId="2" fontId="29" fillId="0" borderId="0" xfId="0" applyNumberFormat="1" applyFont="1"/>
    <xf numFmtId="0" fontId="29" fillId="0" borderId="0" xfId="0" applyFont="1"/>
    <xf numFmtId="2" fontId="29" fillId="12" borderId="34" xfId="0" applyNumberFormat="1" applyFont="1" applyFill="1" applyBorder="1" applyAlignment="1">
      <alignment horizontal="right"/>
    </xf>
    <xf numFmtId="2" fontId="29" fillId="12" borderId="22" xfId="0" applyNumberFormat="1" applyFont="1" applyFill="1" applyBorder="1" applyAlignment="1">
      <alignment horizontal="right"/>
    </xf>
    <xf numFmtId="2" fontId="29" fillId="12" borderId="39" xfId="0" applyNumberFormat="1" applyFont="1" applyFill="1" applyBorder="1" applyAlignment="1">
      <alignment horizontal="right"/>
    </xf>
    <xf numFmtId="2" fontId="29" fillId="12" borderId="4" xfId="0" applyNumberFormat="1" applyFont="1" applyFill="1" applyBorder="1" applyAlignment="1">
      <alignment horizontal="right"/>
    </xf>
    <xf numFmtId="2" fontId="29" fillId="14" borderId="34" xfId="0" applyNumberFormat="1" applyFont="1" applyFill="1" applyBorder="1" applyAlignment="1">
      <alignment horizontal="right"/>
    </xf>
    <xf numFmtId="2" fontId="29" fillId="14" borderId="22" xfId="0" applyNumberFormat="1" applyFont="1" applyFill="1" applyBorder="1" applyAlignment="1">
      <alignment horizontal="right"/>
    </xf>
    <xf numFmtId="2" fontId="29" fillId="14" borderId="39" xfId="0" applyNumberFormat="1" applyFont="1" applyFill="1" applyBorder="1" applyAlignment="1">
      <alignment horizontal="right"/>
    </xf>
    <xf numFmtId="2" fontId="29" fillId="14" borderId="4" xfId="0" applyNumberFormat="1" applyFont="1" applyFill="1" applyBorder="1" applyAlignment="1">
      <alignment horizontal="right"/>
    </xf>
    <xf numFmtId="2" fontId="29" fillId="14" borderId="39" xfId="0" applyNumberFormat="1" applyFont="1" applyFill="1" applyBorder="1"/>
    <xf numFmtId="2" fontId="29" fillId="14" borderId="24" xfId="0" applyNumberFormat="1" applyFont="1" applyFill="1" applyBorder="1" applyAlignment="1">
      <alignment horizontal="right"/>
    </xf>
    <xf numFmtId="2" fontId="29" fillId="14" borderId="17" xfId="0" applyNumberFormat="1" applyFont="1" applyFill="1" applyBorder="1" applyAlignment="1">
      <alignment horizontal="right"/>
    </xf>
    <xf numFmtId="2" fontId="29" fillId="14" borderId="2" xfId="0" applyNumberFormat="1" applyFont="1" applyFill="1" applyBorder="1" applyAlignment="1">
      <alignment horizontal="right"/>
    </xf>
    <xf numFmtId="2" fontId="29" fillId="0" borderId="0" xfId="0" applyNumberFormat="1" applyFont="1" applyBorder="1"/>
    <xf numFmtId="0" fontId="29" fillId="0" borderId="0" xfId="0" applyFont="1" applyBorder="1"/>
    <xf numFmtId="2" fontId="6" fillId="0" borderId="0" xfId="0" applyNumberFormat="1" applyFont="1" applyBorder="1"/>
    <xf numFmtId="164" fontId="8" fillId="0" borderId="0" xfId="0" applyNumberFormat="1" applyFont="1" applyBorder="1"/>
    <xf numFmtId="164" fontId="8" fillId="0" borderId="0" xfId="0" applyNumberFormat="1" applyFont="1" applyFill="1" applyBorder="1"/>
    <xf numFmtId="2" fontId="22" fillId="0" borderId="0" xfId="0" applyNumberFormat="1" applyFont="1" applyBorder="1"/>
    <xf numFmtId="0" fontId="22" fillId="0" borderId="0" xfId="0" applyFont="1" applyBorder="1"/>
    <xf numFmtId="2" fontId="8" fillId="0" borderId="0" xfId="0" applyNumberFormat="1" applyFont="1" applyBorder="1"/>
    <xf numFmtId="0" fontId="8" fillId="0" borderId="0" xfId="0" applyFont="1" applyBorder="1"/>
    <xf numFmtId="0" fontId="0" fillId="0" borderId="0" xfId="0" applyFont="1" applyBorder="1"/>
    <xf numFmtId="0" fontId="2" fillId="0" borderId="0" xfId="0" applyFont="1" applyBorder="1"/>
    <xf numFmtId="1" fontId="2" fillId="2" borderId="12" xfId="0" applyNumberFormat="1" applyFont="1" applyFill="1" applyBorder="1"/>
    <xf numFmtId="164" fontId="0" fillId="12" borderId="0" xfId="0" applyNumberFormat="1" applyFill="1"/>
    <xf numFmtId="0" fontId="6" fillId="0" borderId="0" xfId="0" applyFont="1" applyFill="1" applyBorder="1" applyAlignment="1">
      <alignment/>
    </xf>
    <xf numFmtId="164" fontId="55" fillId="0" borderId="8" xfId="0" applyNumberFormat="1" applyFont="1" applyBorder="1"/>
    <xf numFmtId="0" fontId="29" fillId="15" borderId="0" xfId="0" applyFont="1" applyFill="1"/>
    <xf numFmtId="2" fontId="29" fillId="0" borderId="25" xfId="0" applyNumberFormat="1" applyFont="1" applyFill="1" applyBorder="1" applyAlignment="1">
      <alignment horizontal="center"/>
    </xf>
    <xf numFmtId="2" fontId="29" fillId="0" borderId="33" xfId="0" applyNumberFormat="1" applyFont="1" applyFill="1" applyBorder="1" applyAlignment="1" quotePrefix="1">
      <alignment horizontal="center"/>
    </xf>
    <xf numFmtId="0" fontId="29" fillId="0" borderId="14" xfId="0" applyFont="1" applyFill="1" applyBorder="1" applyAlignment="1">
      <alignment horizontal="center"/>
    </xf>
    <xf numFmtId="164" fontId="53" fillId="0" borderId="0" xfId="0" applyNumberFormat="1" applyFont="1" applyFill="1"/>
    <xf numFmtId="2" fontId="29" fillId="0" borderId="5" xfId="0" applyNumberFormat="1" applyFont="1" applyFill="1" applyBorder="1" applyAlignment="1">
      <alignment horizontal="right"/>
    </xf>
    <xf numFmtId="164" fontId="29" fillId="12" borderId="34" xfId="0" applyNumberFormat="1" applyFont="1" applyFill="1" applyBorder="1"/>
    <xf numFmtId="164" fontId="29" fillId="12" borderId="22" xfId="0" applyNumberFormat="1" applyFont="1" applyFill="1" applyBorder="1"/>
    <xf numFmtId="164" fontId="29" fillId="11" borderId="34" xfId="0" applyNumberFormat="1" applyFont="1" applyFill="1" applyBorder="1"/>
    <xf numFmtId="164" fontId="29" fillId="11" borderId="22" xfId="0" applyNumberFormat="1" applyFont="1" applyFill="1" applyBorder="1"/>
    <xf numFmtId="164" fontId="53" fillId="11" borderId="0" xfId="0" applyNumberFormat="1" applyFont="1" applyFill="1"/>
    <xf numFmtId="2" fontId="29" fillId="11" borderId="4" xfId="0" applyNumberFormat="1" applyFont="1" applyFill="1" applyBorder="1" applyAlignment="1">
      <alignment horizontal="right"/>
    </xf>
    <xf numFmtId="164" fontId="29" fillId="13" borderId="34" xfId="0" applyNumberFormat="1" applyFont="1" applyFill="1" applyBorder="1"/>
    <xf numFmtId="164" fontId="29" fillId="13" borderId="22" xfId="0" applyNumberFormat="1" applyFont="1" applyFill="1" applyBorder="1"/>
    <xf numFmtId="164" fontId="53" fillId="13" borderId="0" xfId="0" applyNumberFormat="1" applyFont="1" applyFill="1"/>
    <xf numFmtId="2" fontId="29" fillId="13" borderId="4" xfId="0" applyNumberFormat="1" applyFont="1" applyFill="1" applyBorder="1" applyAlignment="1">
      <alignment horizontal="right"/>
    </xf>
    <xf numFmtId="164" fontId="29" fillId="11" borderId="10" xfId="0" applyNumberFormat="1" applyFont="1" applyFill="1" applyBorder="1"/>
    <xf numFmtId="164" fontId="29" fillId="11" borderId="24" xfId="0" applyNumberFormat="1" applyFont="1" applyFill="1" applyBorder="1"/>
    <xf numFmtId="2" fontId="29" fillId="11" borderId="2" xfId="0" applyNumberFormat="1" applyFont="1" applyFill="1" applyBorder="1" applyAlignment="1">
      <alignment horizontal="right"/>
    </xf>
    <xf numFmtId="2" fontId="29" fillId="12" borderId="0" xfId="0" applyNumberFormat="1" applyFont="1" applyFill="1" applyBorder="1"/>
    <xf numFmtId="2" fontId="29" fillId="11" borderId="0" xfId="0" applyNumberFormat="1" applyFont="1" applyFill="1" applyBorder="1"/>
    <xf numFmtId="2" fontId="29" fillId="12" borderId="9" xfId="0" applyNumberFormat="1" applyFont="1" applyFill="1" applyBorder="1"/>
    <xf numFmtId="2" fontId="29" fillId="12" borderId="48" xfId="0" applyNumberFormat="1" applyFont="1" applyFill="1" applyBorder="1"/>
    <xf numFmtId="2" fontId="29" fillId="11" borderId="46" xfId="0" applyNumberFormat="1" applyFont="1" applyFill="1" applyBorder="1"/>
    <xf numFmtId="164" fontId="29" fillId="14" borderId="0" xfId="0" applyNumberFormat="1" applyFont="1" applyFill="1"/>
    <xf numFmtId="2" fontId="29" fillId="14" borderId="48" xfId="0" applyNumberFormat="1" applyFont="1" applyFill="1" applyBorder="1"/>
    <xf numFmtId="2" fontId="29" fillId="14" borderId="46" xfId="0" applyNumberFormat="1" applyFont="1" applyFill="1" applyBorder="1"/>
    <xf numFmtId="2" fontId="0" fillId="12" borderId="0" xfId="0" applyNumberFormat="1" applyFont="1" applyFill="1" quotePrefix="1"/>
    <xf numFmtId="0" fontId="5" fillId="0" borderId="8" xfId="0" applyFont="1" applyBorder="1" applyAlignment="1">
      <alignment/>
    </xf>
    <xf numFmtId="0" fontId="5" fillId="0" borderId="12" xfId="0" applyFont="1" applyBorder="1" applyAlignment="1">
      <alignment/>
    </xf>
    <xf numFmtId="0" fontId="5" fillId="7" borderId="8" xfId="0" applyFont="1" applyFill="1" applyBorder="1" applyAlignment="1">
      <alignment/>
    </xf>
    <xf numFmtId="0" fontId="5" fillId="7" borderId="12" xfId="0" applyFont="1" applyFill="1" applyBorder="1" applyAlignment="1">
      <alignment/>
    </xf>
    <xf numFmtId="0" fontId="56" fillId="0" borderId="0" xfId="0" applyFont="1" applyAlignment="1">
      <alignment/>
    </xf>
    <xf numFmtId="0" fontId="5" fillId="12" borderId="0" xfId="0" applyFont="1" applyFill="1" applyAlignment="1">
      <alignment/>
    </xf>
    <xf numFmtId="164" fontId="29" fillId="2" borderId="49" xfId="0" applyNumberFormat="1" applyFont="1" applyFill="1" applyBorder="1"/>
    <xf numFmtId="164" fontId="0" fillId="2" borderId="49" xfId="0" applyNumberFormat="1" applyFill="1" applyBorder="1"/>
    <xf numFmtId="164" fontId="27" fillId="2" borderId="49" xfId="0" applyNumberFormat="1" applyFont="1" applyFill="1" applyBorder="1"/>
    <xf numFmtId="0" fontId="0" fillId="6" borderId="28" xfId="0" applyFill="1" applyBorder="1"/>
    <xf numFmtId="2" fontId="0" fillId="2" borderId="12" xfId="0" applyNumberFormat="1" applyFill="1" applyBorder="1"/>
    <xf numFmtId="2" fontId="0" fillId="5" borderId="8" xfId="0" applyNumberFormat="1" applyFill="1" applyBorder="1" applyProtection="1">
      <protection locked="0"/>
    </xf>
    <xf numFmtId="2" fontId="0" fillId="14" borderId="8" xfId="0" applyNumberFormat="1" applyFill="1" applyBorder="1" applyProtection="1">
      <protection locked="0"/>
    </xf>
    <xf numFmtId="2" fontId="0" fillId="6" borderId="12" xfId="0" applyNumberFormat="1" applyFill="1" applyBorder="1" applyProtection="1">
      <protection locked="0"/>
    </xf>
    <xf numFmtId="164" fontId="0" fillId="2" borderId="8" xfId="0" applyNumberFormat="1" applyFill="1" applyBorder="1"/>
    <xf numFmtId="164" fontId="2" fillId="2" borderId="12" xfId="0" applyNumberFormat="1" applyFont="1" applyFill="1" applyBorder="1"/>
    <xf numFmtId="0" fontId="0" fillId="6" borderId="8" xfId="0" applyFill="1" applyBorder="1"/>
    <xf numFmtId="164" fontId="29" fillId="14" borderId="34" xfId="0" applyNumberFormat="1" applyFont="1" applyFill="1" applyBorder="1"/>
    <xf numFmtId="164" fontId="29" fillId="14" borderId="22" xfId="0" applyNumberFormat="1" applyFont="1" applyFill="1" applyBorder="1"/>
    <xf numFmtId="164" fontId="29" fillId="14" borderId="4" xfId="0" applyNumberFormat="1" applyFont="1" applyFill="1" applyBorder="1" applyAlignment="1">
      <alignment horizontal="right"/>
    </xf>
    <xf numFmtId="164" fontId="0" fillId="14" borderId="34" xfId="0" applyNumberFormat="1" applyFont="1" applyFill="1" applyBorder="1"/>
    <xf numFmtId="164" fontId="0" fillId="14" borderId="22" xfId="0" applyNumberFormat="1" applyFont="1" applyFill="1" applyBorder="1"/>
    <xf numFmtId="164" fontId="19" fillId="14" borderId="0" xfId="0" applyNumberFormat="1" applyFont="1" applyFill="1"/>
    <xf numFmtId="164" fontId="0" fillId="14" borderId="4" xfId="0" applyNumberFormat="1" applyFont="1" applyFill="1" applyBorder="1" applyAlignment="1">
      <alignment horizontal="right"/>
    </xf>
    <xf numFmtId="164" fontId="29" fillId="14" borderId="10" xfId="0" applyNumberFormat="1" applyFont="1" applyFill="1" applyBorder="1"/>
    <xf numFmtId="164" fontId="29" fillId="14" borderId="24" xfId="0" applyNumberFormat="1" applyFont="1" applyFill="1" applyBorder="1"/>
    <xf numFmtId="1" fontId="2" fillId="0" borderId="17" xfId="0" applyNumberFormat="1" applyFont="1" applyFill="1" applyBorder="1"/>
    <xf numFmtId="1" fontId="2" fillId="2" borderId="14" xfId="0" applyNumberFormat="1" applyFont="1" applyFill="1" applyBorder="1"/>
    <xf numFmtId="164" fontId="19" fillId="0" borderId="0" xfId="0" applyNumberFormat="1" applyFont="1" applyFill="1" applyBorder="1" applyAlignment="1" applyProtection="1">
      <alignment horizontal="center"/>
      <protection/>
    </xf>
    <xf numFmtId="164" fontId="19" fillId="0" borderId="0" xfId="0" applyNumberFormat="1" applyFont="1" applyFill="1" applyBorder="1" applyAlignment="1">
      <alignment horizontal="center"/>
    </xf>
    <xf numFmtId="164" fontId="11" fillId="4" borderId="0" xfId="0" applyNumberFormat="1" applyFont="1" applyFill="1" applyAlignment="1" applyProtection="1">
      <alignment horizontal="center"/>
      <protection/>
    </xf>
    <xf numFmtId="164" fontId="11" fillId="4" borderId="0" xfId="0" applyNumberFormat="1" applyFont="1" applyFill="1"/>
    <xf numFmtId="164" fontId="8" fillId="0" borderId="0" xfId="0" applyNumberFormat="1" applyFont="1" applyBorder="1" applyAlignment="1">
      <alignment horizontal="center"/>
    </xf>
    <xf numFmtId="164" fontId="11" fillId="3" borderId="0" xfId="0" applyNumberFormat="1" applyFont="1" applyFill="1"/>
    <xf numFmtId="164" fontId="11" fillId="3" borderId="0" xfId="0" applyNumberFormat="1" applyFont="1" applyFill="1" applyBorder="1"/>
    <xf numFmtId="164" fontId="30" fillId="0" borderId="8" xfId="0" applyNumberFormat="1" applyFont="1" applyFill="1" applyBorder="1"/>
    <xf numFmtId="164" fontId="20" fillId="0" borderId="6" xfId="0" applyNumberFormat="1" applyFont="1" applyFill="1" applyBorder="1"/>
    <xf numFmtId="164" fontId="2" fillId="0" borderId="8" xfId="0" applyNumberFormat="1" applyFont="1" applyFill="1" applyBorder="1"/>
    <xf numFmtId="164" fontId="29" fillId="28" borderId="0" xfId="0" applyNumberFormat="1" applyFont="1" applyFill="1"/>
    <xf numFmtId="164" fontId="0" fillId="2" borderId="29" xfId="0" applyNumberFormat="1" applyFont="1" applyFill="1" applyBorder="1"/>
    <xf numFmtId="164" fontId="29" fillId="2" borderId="29" xfId="0" applyNumberFormat="1" applyFont="1" applyFill="1" applyBorder="1"/>
    <xf numFmtId="164" fontId="29" fillId="14" borderId="25" xfId="0" applyNumberFormat="1" applyFont="1" applyFill="1" applyBorder="1" applyAlignment="1">
      <alignment horizontal="center"/>
    </xf>
    <xf numFmtId="164" fontId="29" fillId="14" borderId="33" xfId="0" applyNumberFormat="1" applyFont="1" applyFill="1" applyBorder="1" applyAlignment="1" quotePrefix="1">
      <alignment horizontal="center"/>
    </xf>
    <xf numFmtId="164" fontId="29" fillId="14" borderId="14" xfId="0" applyNumberFormat="1" applyFont="1" applyFill="1" applyBorder="1" applyAlignment="1">
      <alignment horizontal="center"/>
    </xf>
    <xf numFmtId="164" fontId="29" fillId="14" borderId="0" xfId="0" applyNumberFormat="1" applyFont="1" applyFill="1" applyAlignment="1">
      <alignment horizontal="center"/>
    </xf>
    <xf numFmtId="164" fontId="29" fillId="14" borderId="5" xfId="0" applyNumberFormat="1" applyFont="1" applyFill="1" applyBorder="1" applyAlignment="1">
      <alignment horizontal="center"/>
    </xf>
    <xf numFmtId="164" fontId="29" fillId="14" borderId="9" xfId="0" applyNumberFormat="1" applyFont="1" applyFill="1" applyBorder="1"/>
    <xf numFmtId="164" fontId="29" fillId="14" borderId="48" xfId="0" applyNumberFormat="1" applyFont="1" applyFill="1" applyBorder="1"/>
    <xf numFmtId="164" fontId="29" fillId="2" borderId="0" xfId="0" applyNumberFormat="1" applyFont="1" applyFill="1" applyBorder="1"/>
    <xf numFmtId="164" fontId="29" fillId="14" borderId="46" xfId="0" applyNumberFormat="1" applyFont="1" applyFill="1" applyBorder="1"/>
    <xf numFmtId="164" fontId="0" fillId="2" borderId="34" xfId="0" applyNumberFormat="1" applyFont="1" applyFill="1" applyBorder="1"/>
    <xf numFmtId="164" fontId="0" fillId="2" borderId="22" xfId="0" applyNumberFormat="1" applyFont="1" applyFill="1" applyBorder="1"/>
    <xf numFmtId="164" fontId="0" fillId="2" borderId="39" xfId="0" applyNumberFormat="1" applyFont="1" applyFill="1" applyBorder="1"/>
    <xf numFmtId="164" fontId="0" fillId="2" borderId="4" xfId="0" applyNumberFormat="1" applyFont="1" applyFill="1" applyBorder="1"/>
    <xf numFmtId="164" fontId="29" fillId="2" borderId="10" xfId="0" applyNumberFormat="1" applyFont="1" applyFill="1" applyBorder="1"/>
    <xf numFmtId="164" fontId="29" fillId="2" borderId="24" xfId="0" applyNumberFormat="1" applyFont="1" applyFill="1" applyBorder="1"/>
    <xf numFmtId="164" fontId="29" fillId="2" borderId="17" xfId="0" applyNumberFormat="1" applyFont="1" applyFill="1" applyBorder="1"/>
    <xf numFmtId="164" fontId="29" fillId="2" borderId="2" xfId="0" applyNumberFormat="1" applyFont="1" applyFill="1" applyBorder="1"/>
    <xf numFmtId="164" fontId="0" fillId="2" borderId="27" xfId="0" applyNumberFormat="1" applyFont="1" applyFill="1" applyBorder="1"/>
    <xf numFmtId="164" fontId="0" fillId="2" borderId="28" xfId="0" applyNumberFormat="1" applyFill="1" applyBorder="1"/>
    <xf numFmtId="164" fontId="51" fillId="0" borderId="0" xfId="0" applyNumberFormat="1" applyFont="1" applyFill="1"/>
    <xf numFmtId="0" fontId="0" fillId="18" borderId="0" xfId="0" applyFont="1" applyFill="1" applyAlignment="1">
      <alignment horizontal="right"/>
    </xf>
    <xf numFmtId="0" fontId="2" fillId="0" borderId="0" xfId="0" applyFont="1" applyAlignment="1">
      <alignment horizontal="center"/>
    </xf>
    <xf numFmtId="49" fontId="0" fillId="0" borderId="34" xfId="0" applyNumberFormat="1" applyFont="1" applyBorder="1" applyAlignment="1">
      <alignment horizontal="right"/>
    </xf>
    <xf numFmtId="49" fontId="0" fillId="0" borderId="34" xfId="0" applyNumberFormat="1" applyBorder="1" applyAlignment="1">
      <alignment horizontal="right"/>
    </xf>
    <xf numFmtId="49" fontId="0" fillId="0" borderId="0" xfId="0" applyNumberFormat="1" applyBorder="1" applyAlignment="1">
      <alignment horizontal="right"/>
    </xf>
    <xf numFmtId="49" fontId="0" fillId="0" borderId="0" xfId="0" applyNumberFormat="1" applyFont="1" applyBorder="1" applyAlignment="1">
      <alignment horizontal="right"/>
    </xf>
    <xf numFmtId="49" fontId="2" fillId="0" borderId="0" xfId="0" applyNumberFormat="1" applyFont="1" applyFill="1" applyBorder="1" applyAlignment="1">
      <alignment horizontal="right"/>
    </xf>
    <xf numFmtId="49" fontId="2" fillId="14" borderId="0" xfId="0" applyNumberFormat="1" applyFont="1" applyFill="1" applyBorder="1" applyAlignment="1">
      <alignment horizontal="right"/>
    </xf>
    <xf numFmtId="2" fontId="0" fillId="14" borderId="1" xfId="0" applyNumberFormat="1" applyFont="1" applyFill="1" applyBorder="1"/>
    <xf numFmtId="164" fontId="0" fillId="2" borderId="29" xfId="0" applyNumberFormat="1" applyFont="1" applyFill="1" applyBorder="1"/>
    <xf numFmtId="164" fontId="29" fillId="2" borderId="8" xfId="0" applyNumberFormat="1" applyFont="1" applyFill="1" applyBorder="1"/>
    <xf numFmtId="164" fontId="29" fillId="28" borderId="8" xfId="0" applyNumberFormat="1" applyFont="1" applyFill="1" applyBorder="1"/>
    <xf numFmtId="164" fontId="2" fillId="0" borderId="0" xfId="0" applyNumberFormat="1" applyFont="1" applyBorder="1"/>
    <xf numFmtId="2" fontId="0" fillId="28" borderId="0" xfId="0" applyNumberFormat="1" applyFill="1"/>
    <xf numFmtId="2" fontId="0" fillId="0" borderId="0" xfId="0" applyNumberFormat="1" applyFont="1" applyFill="1" applyBorder="1" applyAlignment="1">
      <alignment horizontal="center"/>
    </xf>
    <xf numFmtId="2" fontId="0" fillId="0" borderId="0" xfId="0" applyNumberFormat="1" applyFont="1" applyFill="1" applyBorder="1" applyAlignment="1" quotePrefix="1">
      <alignment horizontal="center"/>
    </xf>
    <xf numFmtId="0" fontId="0" fillId="0" borderId="0" xfId="0" applyFont="1" applyFill="1" applyBorder="1" applyAlignment="1">
      <alignment horizontal="center"/>
    </xf>
    <xf numFmtId="2" fontId="0" fillId="0" borderId="0" xfId="0" applyNumberFormat="1" applyFont="1" applyFill="1" applyBorder="1" applyAlignment="1">
      <alignment horizontal="right"/>
    </xf>
    <xf numFmtId="164" fontId="27" fillId="0" borderId="0" xfId="0" applyNumberFormat="1" applyFont="1" applyFill="1" applyBorder="1"/>
    <xf numFmtId="164" fontId="0" fillId="0" borderId="0" xfId="0" applyNumberFormat="1" applyFont="1" applyFill="1" applyBorder="1"/>
    <xf numFmtId="2" fontId="27" fillId="0" borderId="0" xfId="0" applyNumberFormat="1" applyFont="1" applyFill="1" applyBorder="1"/>
    <xf numFmtId="2" fontId="23" fillId="12" borderId="0" xfId="0" applyNumberFormat="1" applyFont="1" applyFill="1" applyBorder="1" quotePrefix="1"/>
    <xf numFmtId="164" fontId="19" fillId="0" borderId="9" xfId="0" applyNumberFormat="1" applyFont="1" applyBorder="1"/>
    <xf numFmtId="164" fontId="19" fillId="0" borderId="16" xfId="0" applyNumberFormat="1" applyFont="1" applyBorder="1"/>
    <xf numFmtId="164" fontId="19" fillId="0" borderId="34" xfId="0" applyNumberFormat="1" applyFont="1" applyBorder="1"/>
    <xf numFmtId="164" fontId="19" fillId="0" borderId="39" xfId="0" applyNumberFormat="1" applyFont="1" applyBorder="1"/>
    <xf numFmtId="164" fontId="19" fillId="0" borderId="10" xfId="0" applyNumberFormat="1" applyFont="1" applyBorder="1"/>
    <xf numFmtId="164" fontId="19" fillId="0" borderId="17" xfId="0" applyNumberFormat="1" applyFont="1" applyBorder="1"/>
    <xf numFmtId="2" fontId="0" fillId="14" borderId="0" xfId="0" applyNumberFormat="1" applyFont="1" applyFill="1" applyBorder="1" applyProtection="1">
      <protection locked="0"/>
    </xf>
    <xf numFmtId="2" fontId="0" fillId="14" borderId="0" xfId="0" applyNumberFormat="1" applyFont="1" applyFill="1" applyBorder="1" applyProtection="1" quotePrefix="1">
      <protection locked="0"/>
    </xf>
    <xf numFmtId="2" fontId="0" fillId="14" borderId="0" xfId="0" applyNumberFormat="1" applyFill="1" applyAlignment="1">
      <alignment horizontal="center"/>
    </xf>
    <xf numFmtId="2" fontId="29" fillId="12" borderId="31" xfId="0" applyNumberFormat="1" applyFont="1" applyFill="1" applyBorder="1" applyAlignment="1">
      <alignment horizontal="center"/>
    </xf>
    <xf numFmtId="2" fontId="29" fillId="13" borderId="46" xfId="0" applyNumberFormat="1" applyFont="1" applyFill="1" applyBorder="1"/>
    <xf numFmtId="2" fontId="0" fillId="12" borderId="46" xfId="0" applyNumberFormat="1" applyFill="1" applyBorder="1"/>
    <xf numFmtId="2" fontId="29" fillId="11" borderId="47" xfId="0" applyNumberFormat="1" applyFont="1" applyFill="1" applyBorder="1"/>
    <xf numFmtId="2" fontId="29" fillId="14" borderId="31" xfId="0" applyNumberFormat="1" applyFont="1" applyFill="1" applyBorder="1" applyAlignment="1">
      <alignment horizontal="center"/>
    </xf>
    <xf numFmtId="2" fontId="0" fillId="14" borderId="46" xfId="0" applyNumberFormat="1" applyFill="1" applyBorder="1"/>
    <xf numFmtId="2" fontId="29" fillId="14" borderId="47" xfId="0" applyNumberFormat="1" applyFont="1" applyFill="1" applyBorder="1"/>
    <xf numFmtId="2" fontId="29" fillId="13" borderId="34" xfId="0" applyNumberFormat="1" applyFont="1" applyFill="1" applyBorder="1" applyAlignment="1">
      <alignment horizontal="right"/>
    </xf>
    <xf numFmtId="2" fontId="29" fillId="13" borderId="22" xfId="0" applyNumberFormat="1" applyFont="1" applyFill="1" applyBorder="1" applyAlignment="1">
      <alignment horizontal="right"/>
    </xf>
    <xf numFmtId="2" fontId="29" fillId="13" borderId="39" xfId="0" applyNumberFormat="1" applyFont="1" applyFill="1" applyBorder="1" applyAlignment="1">
      <alignment horizontal="right"/>
    </xf>
    <xf numFmtId="2" fontId="29" fillId="11" borderId="34" xfId="0" applyNumberFormat="1" applyFont="1" applyFill="1" applyBorder="1" applyAlignment="1">
      <alignment horizontal="right"/>
    </xf>
    <xf numFmtId="2" fontId="29" fillId="11" borderId="22" xfId="0" applyNumberFormat="1" applyFont="1" applyFill="1" applyBorder="1" applyAlignment="1">
      <alignment horizontal="right"/>
    </xf>
    <xf numFmtId="2" fontId="29" fillId="11" borderId="39" xfId="0" applyNumberFormat="1" applyFont="1" applyFill="1" applyBorder="1" applyAlignment="1">
      <alignment horizontal="right"/>
    </xf>
    <xf numFmtId="2" fontId="27" fillId="11" borderId="34" xfId="0" applyNumberFormat="1" applyFont="1" applyFill="1" applyBorder="1" applyAlignment="1">
      <alignment horizontal="right"/>
    </xf>
    <xf numFmtId="2" fontId="27" fillId="11" borderId="22" xfId="0" applyNumberFormat="1" applyFont="1" applyFill="1" applyBorder="1" applyAlignment="1">
      <alignment horizontal="right"/>
    </xf>
    <xf numFmtId="2" fontId="27" fillId="11" borderId="39" xfId="0" applyNumberFormat="1" applyFont="1" applyFill="1" applyBorder="1" applyAlignment="1">
      <alignment horizontal="right"/>
    </xf>
    <xf numFmtId="164" fontId="44" fillId="11" borderId="0" xfId="0" applyNumberFormat="1" applyFont="1" applyFill="1"/>
    <xf numFmtId="2" fontId="27" fillId="11" borderId="4" xfId="0" applyNumberFormat="1" applyFont="1" applyFill="1" applyBorder="1" applyAlignment="1">
      <alignment horizontal="right"/>
    </xf>
    <xf numFmtId="2" fontId="27" fillId="11" borderId="39" xfId="0" applyNumberFormat="1" applyFont="1" applyFill="1" applyBorder="1"/>
    <xf numFmtId="2" fontId="27" fillId="11" borderId="0" xfId="0" applyNumberFormat="1" applyFont="1" applyFill="1"/>
    <xf numFmtId="2" fontId="27" fillId="11" borderId="10" xfId="0" applyNumberFormat="1" applyFont="1" applyFill="1" applyBorder="1" applyAlignment="1">
      <alignment horizontal="right"/>
    </xf>
    <xf numFmtId="2" fontId="27" fillId="11" borderId="24" xfId="0" applyNumberFormat="1" applyFont="1" applyFill="1" applyBorder="1" applyAlignment="1">
      <alignment horizontal="right"/>
    </xf>
    <xf numFmtId="2" fontId="27" fillId="11" borderId="17" xfId="0" applyNumberFormat="1" applyFont="1" applyFill="1" applyBorder="1" applyAlignment="1">
      <alignment horizontal="right"/>
    </xf>
    <xf numFmtId="2" fontId="27" fillId="11" borderId="2" xfId="0" applyNumberFormat="1" applyFont="1" applyFill="1" applyBorder="1" applyAlignment="1">
      <alignment horizontal="right"/>
    </xf>
    <xf numFmtId="2" fontId="27" fillId="11" borderId="17" xfId="0" applyNumberFormat="1" applyFont="1" applyFill="1" applyBorder="1"/>
    <xf numFmtId="0" fontId="29" fillId="29" borderId="0" xfId="0" applyFont="1" applyFill="1"/>
    <xf numFmtId="0" fontId="0" fillId="29" borderId="0" xfId="0" applyFill="1"/>
    <xf numFmtId="0" fontId="27" fillId="29" borderId="0" xfId="0" applyFont="1" applyFill="1"/>
    <xf numFmtId="2" fontId="0" fillId="14" borderId="0" xfId="0" applyNumberFormat="1" applyFill="1" applyBorder="1" applyAlignment="1" applyProtection="1">
      <alignment horizontal="center"/>
      <protection locked="0"/>
    </xf>
    <xf numFmtId="2" fontId="0" fillId="14" borderId="0" xfId="0" applyNumberFormat="1" applyFill="1" applyAlignment="1" applyProtection="1">
      <alignment horizontal="center"/>
      <protection locked="0"/>
    </xf>
    <xf numFmtId="0" fontId="0" fillId="14" borderId="0" xfId="0" applyFill="1" applyAlignment="1">
      <alignment horizontal="center"/>
    </xf>
    <xf numFmtId="2" fontId="0" fillId="14" borderId="22" xfId="0" applyNumberFormat="1" applyFill="1" applyBorder="1" applyAlignment="1">
      <alignment horizontal="center"/>
    </xf>
    <xf numFmtId="2" fontId="0" fillId="14" borderId="0" xfId="0" applyNumberFormat="1" applyFont="1" applyFill="1" applyAlignment="1">
      <alignment horizontal="center"/>
    </xf>
    <xf numFmtId="2" fontId="0" fillId="30" borderId="32" xfId="0" applyNumberFormat="1" applyFill="1" applyBorder="1" applyAlignment="1">
      <alignment horizontal="center"/>
    </xf>
    <xf numFmtId="2" fontId="0" fillId="30" borderId="22" xfId="0" applyNumberFormat="1" applyFill="1" applyBorder="1" applyAlignment="1">
      <alignment horizontal="center"/>
    </xf>
    <xf numFmtId="2" fontId="0" fillId="30" borderId="23" xfId="0" applyNumberFormat="1" applyFill="1" applyBorder="1" applyAlignment="1">
      <alignment horizontal="center"/>
    </xf>
    <xf numFmtId="0" fontId="0" fillId="31" borderId="0" xfId="0" applyFill="1"/>
    <xf numFmtId="2" fontId="0" fillId="31" borderId="0" xfId="0" applyNumberFormat="1" applyFill="1" applyBorder="1" applyProtection="1">
      <protection locked="0"/>
    </xf>
    <xf numFmtId="2" fontId="2" fillId="31" borderId="0" xfId="0" applyNumberFormat="1" applyFont="1" applyFill="1" applyBorder="1"/>
    <xf numFmtId="2" fontId="0" fillId="14" borderId="30" xfId="0" applyNumberFormat="1" applyFill="1" applyBorder="1" applyAlignment="1">
      <alignment horizontal="center"/>
    </xf>
    <xf numFmtId="2" fontId="0" fillId="14" borderId="26" xfId="0" applyNumberFormat="1" applyFill="1" applyBorder="1" applyAlignment="1">
      <alignment horizontal="center"/>
    </xf>
    <xf numFmtId="2" fontId="0" fillId="30" borderId="26" xfId="0" applyNumberFormat="1" applyFill="1" applyBorder="1" applyAlignment="1">
      <alignment horizontal="center"/>
    </xf>
    <xf numFmtId="0" fontId="0" fillId="30" borderId="50" xfId="0" applyFill="1" applyBorder="1" applyAlignment="1">
      <alignment horizontal="center"/>
    </xf>
    <xf numFmtId="2" fontId="0" fillId="30" borderId="29" xfId="0" applyNumberFormat="1" applyFill="1" applyBorder="1" applyAlignment="1">
      <alignment horizontal="center"/>
    </xf>
    <xf numFmtId="2" fontId="0" fillId="14" borderId="0" xfId="0" applyNumberFormat="1" applyFill="1" applyBorder="1" applyAlignment="1">
      <alignment horizontal="center"/>
    </xf>
    <xf numFmtId="0" fontId="0" fillId="30" borderId="1" xfId="0" applyFill="1" applyBorder="1" applyAlignment="1">
      <alignment horizontal="center"/>
    </xf>
    <xf numFmtId="2" fontId="0" fillId="14" borderId="29" xfId="0" applyNumberFormat="1" applyFill="1" applyBorder="1" applyAlignment="1">
      <alignment horizontal="center"/>
    </xf>
    <xf numFmtId="0" fontId="0" fillId="14" borderId="1" xfId="0" applyFill="1" applyBorder="1" applyAlignment="1">
      <alignment horizontal="center"/>
    </xf>
    <xf numFmtId="2" fontId="0" fillId="30" borderId="0" xfId="0" applyNumberFormat="1" applyFill="1" applyBorder="1" applyAlignment="1">
      <alignment horizontal="center"/>
    </xf>
    <xf numFmtId="2" fontId="0" fillId="14" borderId="27" xfId="0" applyNumberFormat="1" applyFill="1" applyBorder="1" applyAlignment="1">
      <alignment horizontal="center"/>
    </xf>
    <xf numFmtId="2" fontId="0" fillId="14" borderId="18" xfId="0" applyNumberFormat="1" applyFill="1" applyBorder="1" applyAlignment="1">
      <alignment horizontal="center"/>
    </xf>
    <xf numFmtId="2" fontId="0" fillId="30" borderId="18" xfId="0" applyNumberFormat="1" applyFill="1" applyBorder="1" applyAlignment="1">
      <alignment horizontal="center"/>
    </xf>
    <xf numFmtId="0" fontId="0" fillId="30" borderId="3" xfId="0" applyFill="1" applyBorder="1" applyAlignment="1">
      <alignment horizontal="center"/>
    </xf>
    <xf numFmtId="0" fontId="0" fillId="30" borderId="38" xfId="0" applyFill="1" applyBorder="1" applyAlignment="1">
      <alignment horizontal="center"/>
    </xf>
    <xf numFmtId="2" fontId="29" fillId="14" borderId="34" xfId="0" applyNumberFormat="1" applyFont="1" applyFill="1" applyBorder="1" applyProtection="1">
      <protection locked="0"/>
    </xf>
    <xf numFmtId="2" fontId="29" fillId="14" borderId="22" xfId="0" applyNumberFormat="1" applyFont="1" applyFill="1" applyBorder="1" applyProtection="1">
      <protection locked="0"/>
    </xf>
    <xf numFmtId="2" fontId="29" fillId="14" borderId="39" xfId="0" applyNumberFormat="1" applyFont="1" applyFill="1" applyBorder="1" applyProtection="1">
      <protection locked="0"/>
    </xf>
    <xf numFmtId="2" fontId="29" fillId="14" borderId="4" xfId="0" applyNumberFormat="1" applyFont="1" applyFill="1" applyBorder="1" applyProtection="1">
      <protection locked="0"/>
    </xf>
    <xf numFmtId="2" fontId="29" fillId="14" borderId="10" xfId="0" applyNumberFormat="1" applyFont="1" applyFill="1" applyBorder="1" applyProtection="1">
      <protection locked="0"/>
    </xf>
    <xf numFmtId="2" fontId="29" fillId="14" borderId="17" xfId="0" applyNumberFormat="1" applyFont="1" applyFill="1" applyBorder="1" applyProtection="1">
      <protection locked="0"/>
    </xf>
    <xf numFmtId="2" fontId="29" fillId="14" borderId="0" xfId="0" applyNumberFormat="1" applyFont="1" applyFill="1" applyBorder="1" applyProtection="1">
      <protection locked="0"/>
    </xf>
    <xf numFmtId="2" fontId="0" fillId="32" borderId="30" xfId="0" applyNumberFormat="1" applyFill="1" applyBorder="1" applyAlignment="1">
      <alignment horizontal="center"/>
    </xf>
    <xf numFmtId="2" fontId="0" fillId="32" borderId="26" xfId="0" applyNumberFormat="1" applyFill="1" applyBorder="1" applyAlignment="1">
      <alignment horizontal="center"/>
    </xf>
    <xf numFmtId="2" fontId="0" fillId="32" borderId="29" xfId="0" applyNumberFormat="1" applyFill="1" applyBorder="1" applyAlignment="1">
      <alignment horizontal="center"/>
    </xf>
    <xf numFmtId="2" fontId="0" fillId="32" borderId="0" xfId="0" applyNumberFormat="1" applyFill="1" applyBorder="1" applyAlignment="1">
      <alignment horizontal="center"/>
    </xf>
    <xf numFmtId="0" fontId="0" fillId="32" borderId="50" xfId="0" applyFill="1" applyBorder="1" applyAlignment="1">
      <alignment horizontal="center"/>
    </xf>
    <xf numFmtId="0" fontId="0" fillId="32" borderId="1" xfId="0" applyFill="1" applyBorder="1" applyAlignment="1">
      <alignment horizontal="center"/>
    </xf>
    <xf numFmtId="0" fontId="0" fillId="0" borderId="39" xfId="0" applyBorder="1"/>
    <xf numFmtId="164" fontId="6" fillId="10" borderId="0" xfId="0" applyNumberFormat="1" applyFont="1" applyFill="1" applyBorder="1"/>
    <xf numFmtId="164" fontId="6" fillId="9" borderId="0" xfId="0" applyNumberFormat="1" applyFont="1" applyFill="1" applyBorder="1"/>
    <xf numFmtId="0" fontId="0" fillId="0" borderId="34" xfId="0" applyBorder="1"/>
    <xf numFmtId="0" fontId="0" fillId="0" borderId="10" xfId="0" applyBorder="1"/>
    <xf numFmtId="2" fontId="0" fillId="2" borderId="4" xfId="0" applyNumberFormat="1" applyFont="1" applyFill="1" applyBorder="1"/>
    <xf numFmtId="1" fontId="29" fillId="14" borderId="34" xfId="0" applyNumberFormat="1" applyFont="1" applyFill="1" applyBorder="1"/>
    <xf numFmtId="1" fontId="29" fillId="14" borderId="22" xfId="0" applyNumberFormat="1" applyFont="1" applyFill="1" applyBorder="1"/>
    <xf numFmtId="1" fontId="29" fillId="14" borderId="39" xfId="0" applyNumberFormat="1" applyFont="1" applyFill="1" applyBorder="1"/>
    <xf numFmtId="1" fontId="29" fillId="14" borderId="48" xfId="0" applyNumberFormat="1" applyFont="1" applyFill="1" applyBorder="1"/>
    <xf numFmtId="1" fontId="53" fillId="14" borderId="0" xfId="0" applyNumberFormat="1" applyFont="1" applyFill="1"/>
    <xf numFmtId="1" fontId="29" fillId="14" borderId="4" xfId="0" applyNumberFormat="1" applyFont="1" applyFill="1" applyBorder="1" applyAlignment="1">
      <alignment horizontal="right"/>
    </xf>
    <xf numFmtId="1" fontId="29" fillId="14" borderId="46" xfId="0" applyNumberFormat="1" applyFont="1" applyFill="1" applyBorder="1"/>
    <xf numFmtId="1" fontId="0" fillId="14" borderId="34" xfId="0" applyNumberFormat="1" applyFont="1" applyFill="1" applyBorder="1"/>
    <xf numFmtId="1" fontId="0" fillId="14" borderId="22" xfId="0" applyNumberFormat="1" applyFont="1" applyFill="1" applyBorder="1"/>
    <xf numFmtId="1" fontId="0" fillId="14" borderId="39" xfId="0" applyNumberFormat="1" applyFont="1" applyFill="1" applyBorder="1"/>
    <xf numFmtId="1" fontId="0" fillId="14" borderId="46" xfId="0" applyNumberFormat="1" applyFill="1" applyBorder="1"/>
    <xf numFmtId="1" fontId="19" fillId="14" borderId="0" xfId="0" applyNumberFormat="1" applyFont="1" applyFill="1"/>
    <xf numFmtId="1" fontId="0" fillId="14" borderId="4" xfId="0" applyNumberFormat="1" applyFont="1" applyFill="1" applyBorder="1" applyAlignment="1">
      <alignment horizontal="right"/>
    </xf>
    <xf numFmtId="1" fontId="29" fillId="14" borderId="10" xfId="0" applyNumberFormat="1" applyFont="1" applyFill="1" applyBorder="1"/>
    <xf numFmtId="1" fontId="29" fillId="14" borderId="24" xfId="0" applyNumberFormat="1" applyFont="1" applyFill="1" applyBorder="1"/>
    <xf numFmtId="1" fontId="29" fillId="14" borderId="17" xfId="0" applyNumberFormat="1" applyFont="1" applyFill="1" applyBorder="1"/>
    <xf numFmtId="1" fontId="29" fillId="14" borderId="47" xfId="0" applyNumberFormat="1" applyFont="1" applyFill="1" applyBorder="1"/>
    <xf numFmtId="1" fontId="29" fillId="14" borderId="2" xfId="0" applyNumberFormat="1" applyFont="1" applyFill="1" applyBorder="1" applyAlignment="1">
      <alignment horizontal="right"/>
    </xf>
    <xf numFmtId="0" fontId="0" fillId="0" borderId="46" xfId="0" applyFont="1" applyBorder="1"/>
    <xf numFmtId="1" fontId="29" fillId="33" borderId="48" xfId="0" applyNumberFormat="1" applyFont="1" applyFill="1" applyBorder="1"/>
    <xf numFmtId="1" fontId="53" fillId="33" borderId="7" xfId="0" applyNumberFormat="1" applyFont="1" applyFill="1" applyBorder="1"/>
    <xf numFmtId="1" fontId="29" fillId="33" borderId="15" xfId="0" applyNumberFormat="1" applyFont="1" applyFill="1" applyBorder="1" applyAlignment="1">
      <alignment horizontal="right"/>
    </xf>
    <xf numFmtId="1" fontId="29" fillId="33" borderId="47" xfId="0" applyNumberFormat="1" applyFont="1" applyFill="1" applyBorder="1"/>
    <xf numFmtId="1" fontId="53" fillId="33" borderId="8" xfId="0" applyNumberFormat="1" applyFont="1" applyFill="1" applyBorder="1"/>
    <xf numFmtId="1" fontId="29" fillId="33" borderId="2" xfId="0" applyNumberFormat="1" applyFont="1" applyFill="1" applyBorder="1" applyAlignment="1">
      <alignment horizontal="right"/>
    </xf>
    <xf numFmtId="1" fontId="29" fillId="33" borderId="9" xfId="0" applyNumberFormat="1" applyFont="1" applyFill="1" applyBorder="1"/>
    <xf numFmtId="1" fontId="50" fillId="33" borderId="16" xfId="0" applyNumberFormat="1" applyFont="1" applyFill="1" applyBorder="1"/>
    <xf numFmtId="1" fontId="29" fillId="33" borderId="10" xfId="0" applyNumberFormat="1" applyFont="1" applyFill="1" applyBorder="1"/>
    <xf numFmtId="1" fontId="50" fillId="33" borderId="17" xfId="0" applyNumberFormat="1" applyFont="1" applyFill="1" applyBorder="1"/>
    <xf numFmtId="1" fontId="29" fillId="33" borderId="21" xfId="0" applyNumberFormat="1" applyFont="1" applyFill="1" applyBorder="1"/>
    <xf numFmtId="1" fontId="29" fillId="33" borderId="16" xfId="0" applyNumberFormat="1" applyFont="1" applyFill="1" applyBorder="1"/>
    <xf numFmtId="1" fontId="29" fillId="33" borderId="24" xfId="0" applyNumberFormat="1" applyFont="1" applyFill="1" applyBorder="1"/>
    <xf numFmtId="1" fontId="29" fillId="33" borderId="17" xfId="0" applyNumberFormat="1" applyFont="1" applyFill="1" applyBorder="1"/>
    <xf numFmtId="1" fontId="0" fillId="30" borderId="30" xfId="0" applyNumberFormat="1" applyFill="1" applyBorder="1" applyAlignment="1" applyProtection="1">
      <alignment horizontal="center"/>
      <protection locked="0"/>
    </xf>
    <xf numFmtId="1" fontId="0" fillId="30" borderId="26" xfId="0" applyNumberFormat="1" applyFill="1" applyBorder="1" applyAlignment="1" applyProtection="1">
      <alignment horizontal="center"/>
      <protection locked="0"/>
    </xf>
    <xf numFmtId="1" fontId="0" fillId="14" borderId="26" xfId="0" applyNumberFormat="1" applyFill="1" applyBorder="1" applyAlignment="1" applyProtection="1">
      <alignment horizontal="center"/>
      <protection locked="0"/>
    </xf>
    <xf numFmtId="1" fontId="0" fillId="30" borderId="50" xfId="0" applyNumberFormat="1" applyFill="1" applyBorder="1" applyAlignment="1" applyProtection="1">
      <alignment horizontal="center"/>
      <protection locked="0"/>
    </xf>
    <xf numFmtId="1" fontId="0" fillId="30" borderId="29" xfId="0" applyNumberFormat="1" applyFill="1" applyBorder="1" applyAlignment="1" applyProtection="1">
      <alignment horizontal="center"/>
      <protection locked="0"/>
    </xf>
    <xf numFmtId="1" fontId="0" fillId="30" borderId="0" xfId="0" applyNumberFormat="1" applyFill="1" applyBorder="1" applyAlignment="1" applyProtection="1">
      <alignment horizontal="center"/>
      <protection locked="0"/>
    </xf>
    <xf numFmtId="1" fontId="0" fillId="14" borderId="0" xfId="0" applyNumberFormat="1" applyFill="1" applyBorder="1" applyAlignment="1" applyProtection="1">
      <alignment horizontal="center"/>
      <protection locked="0"/>
    </xf>
    <xf numFmtId="1" fontId="0" fillId="30" borderId="1" xfId="0" applyNumberFormat="1" applyFill="1" applyBorder="1" applyAlignment="1" applyProtection="1">
      <alignment horizontal="center"/>
      <protection locked="0"/>
    </xf>
    <xf numFmtId="1" fontId="0" fillId="14" borderId="29" xfId="0" applyNumberFormat="1" applyFill="1" applyBorder="1" applyAlignment="1" applyProtection="1">
      <alignment horizontal="center"/>
      <protection locked="0"/>
    </xf>
    <xf numFmtId="1" fontId="0" fillId="14" borderId="1" xfId="0" applyNumberFormat="1" applyFill="1" applyBorder="1" applyAlignment="1" applyProtection="1">
      <alignment horizontal="center"/>
      <protection locked="0"/>
    </xf>
    <xf numFmtId="1" fontId="0" fillId="30" borderId="27" xfId="0" applyNumberFormat="1" applyFill="1" applyBorder="1" applyAlignment="1" applyProtection="1">
      <alignment horizontal="center"/>
      <protection locked="0"/>
    </xf>
    <xf numFmtId="1" fontId="0" fillId="30" borderId="18" xfId="0" applyNumberFormat="1" applyFill="1" applyBorder="1" applyAlignment="1" applyProtection="1">
      <alignment horizontal="center"/>
      <protection locked="0"/>
    </xf>
    <xf numFmtId="1" fontId="0" fillId="14" borderId="18" xfId="0" applyNumberFormat="1" applyFill="1" applyBorder="1" applyAlignment="1" applyProtection="1">
      <alignment horizontal="center"/>
      <protection locked="0"/>
    </xf>
    <xf numFmtId="1" fontId="0" fillId="30" borderId="3" xfId="0" applyNumberFormat="1" applyFill="1" applyBorder="1" applyAlignment="1" applyProtection="1">
      <alignment horizontal="center"/>
      <protection locked="0"/>
    </xf>
    <xf numFmtId="0" fontId="0" fillId="14" borderId="39" xfId="0" applyFill="1" applyBorder="1"/>
    <xf numFmtId="0" fontId="0" fillId="14" borderId="8" xfId="0" applyFill="1" applyBorder="1"/>
    <xf numFmtId="0" fontId="0" fillId="14" borderId="17" xfId="0" applyFill="1" applyBorder="1"/>
    <xf numFmtId="0" fontId="0" fillId="14" borderId="9" xfId="0" applyFill="1" applyBorder="1"/>
    <xf numFmtId="0" fontId="0" fillId="14" borderId="7" xfId="0" applyFill="1" applyBorder="1"/>
    <xf numFmtId="0" fontId="0" fillId="14" borderId="16" xfId="0" applyFill="1" applyBorder="1"/>
    <xf numFmtId="0" fontId="0" fillId="14" borderId="34" xfId="0" applyFill="1" applyBorder="1"/>
    <xf numFmtId="164" fontId="0" fillId="14" borderId="9" xfId="0" applyNumberFormat="1" applyFill="1" applyBorder="1"/>
    <xf numFmtId="164" fontId="0" fillId="14" borderId="34" xfId="0" applyNumberFormat="1" applyFill="1" applyBorder="1"/>
    <xf numFmtId="0" fontId="8" fillId="14" borderId="0" xfId="0" applyFont="1" applyFill="1" applyBorder="1" applyAlignment="1">
      <alignment horizontal="right"/>
    </xf>
    <xf numFmtId="0" fontId="8" fillId="14" borderId="0" xfId="0" applyFont="1" applyFill="1" applyBorder="1" applyAlignment="1">
      <alignment horizontal="center"/>
    </xf>
    <xf numFmtId="164" fontId="8" fillId="14" borderId="0" xfId="0" applyNumberFormat="1" applyFont="1" applyFill="1" applyBorder="1"/>
    <xf numFmtId="3" fontId="21" fillId="14" borderId="0" xfId="0" applyNumberFormat="1" applyFont="1" applyFill="1" applyBorder="1" applyAlignment="1">
      <alignment horizontal="center"/>
    </xf>
    <xf numFmtId="2" fontId="8" fillId="14" borderId="0" xfId="0" applyNumberFormat="1" applyFont="1" applyFill="1" applyBorder="1" applyAlignment="1">
      <alignment horizontal="center"/>
    </xf>
    <xf numFmtId="164" fontId="8" fillId="14" borderId="34" xfId="0" applyNumberFormat="1" applyFont="1" applyFill="1" applyBorder="1"/>
    <xf numFmtId="0" fontId="0" fillId="14" borderId="0" xfId="0" applyFill="1" applyBorder="1" applyAlignment="1">
      <alignment horizontal="center"/>
    </xf>
    <xf numFmtId="169" fontId="8" fillId="14" borderId="0" xfId="0" applyNumberFormat="1" applyFont="1" applyFill="1" applyBorder="1" applyAlignment="1">
      <alignment horizontal="center"/>
    </xf>
    <xf numFmtId="0" fontId="42" fillId="14" borderId="0" xfId="0" applyFont="1" applyFill="1" applyBorder="1" applyAlignment="1">
      <alignment horizontal="center"/>
    </xf>
    <xf numFmtId="169" fontId="0" fillId="14" borderId="0" xfId="0" applyNumberFormat="1" applyFill="1" applyBorder="1" applyAlignment="1">
      <alignment horizontal="center"/>
    </xf>
    <xf numFmtId="164" fontId="8" fillId="14" borderId="10" xfId="0" applyNumberFormat="1" applyFont="1" applyFill="1" applyBorder="1"/>
    <xf numFmtId="0" fontId="8" fillId="14" borderId="8" xfId="0" applyFont="1" applyFill="1" applyBorder="1" applyAlignment="1">
      <alignment horizontal="right"/>
    </xf>
    <xf numFmtId="169" fontId="43" fillId="14" borderId="8" xfId="0" applyNumberFormat="1" applyFont="1" applyFill="1" applyBorder="1" applyAlignment="1">
      <alignment horizontal="center"/>
    </xf>
    <xf numFmtId="164" fontId="8" fillId="14" borderId="8" xfId="0" applyNumberFormat="1" applyFont="1" applyFill="1" applyBorder="1"/>
    <xf numFmtId="0" fontId="9" fillId="14" borderId="0" xfId="0" applyFont="1" applyFill="1" applyBorder="1" applyAlignment="1">
      <alignment horizontal="center" wrapText="1"/>
    </xf>
    <xf numFmtId="0" fontId="23" fillId="14" borderId="0" xfId="0" applyFont="1" applyFill="1" applyBorder="1" applyAlignment="1">
      <alignment horizontal="center"/>
    </xf>
    <xf numFmtId="164" fontId="0" fillId="14" borderId="0" xfId="0" applyNumberFormat="1" applyFill="1" applyBorder="1" applyAlignment="1">
      <alignment horizontal="center"/>
    </xf>
    <xf numFmtId="0" fontId="0" fillId="14" borderId="0" xfId="0" applyFont="1" applyFill="1" applyBorder="1" applyAlignment="1">
      <alignment horizontal="center"/>
    </xf>
    <xf numFmtId="1" fontId="0" fillId="14" borderId="0" xfId="0" applyNumberFormat="1" applyFont="1" applyFill="1" applyBorder="1" applyAlignment="1">
      <alignment horizontal="center"/>
    </xf>
    <xf numFmtId="0" fontId="2" fillId="14" borderId="0" xfId="0" applyFont="1" applyFill="1" applyBorder="1" applyAlignment="1">
      <alignment horizontal="center"/>
    </xf>
    <xf numFmtId="164" fontId="2" fillId="14" borderId="0" xfId="0" applyNumberFormat="1" applyFont="1" applyFill="1" applyBorder="1" applyAlignment="1">
      <alignment horizontal="center"/>
    </xf>
    <xf numFmtId="0" fontId="2" fillId="14" borderId="0" xfId="0" applyFont="1" applyFill="1" applyBorder="1" applyAlignment="1">
      <alignment horizontal="right"/>
    </xf>
    <xf numFmtId="169" fontId="2" fillId="14" borderId="0" xfId="0" applyNumberFormat="1" applyFont="1" applyFill="1" applyBorder="1"/>
    <xf numFmtId="0" fontId="2" fillId="14" borderId="0" xfId="0" applyFont="1" applyFill="1" applyBorder="1"/>
    <xf numFmtId="3" fontId="0" fillId="14" borderId="0" xfId="0" applyNumberFormat="1" applyFill="1" applyBorder="1"/>
    <xf numFmtId="0" fontId="0" fillId="14" borderId="0" xfId="0" applyFont="1" applyFill="1" applyBorder="1"/>
    <xf numFmtId="3" fontId="0" fillId="14" borderId="0" xfId="0" applyNumberFormat="1" applyFont="1" applyFill="1" applyBorder="1"/>
    <xf numFmtId="165" fontId="0" fillId="14" borderId="0" xfId="0" applyNumberFormat="1" applyFill="1" applyBorder="1"/>
    <xf numFmtId="164" fontId="0" fillId="14" borderId="7" xfId="0" applyNumberFormat="1" applyFill="1" applyBorder="1"/>
    <xf numFmtId="0" fontId="6" fillId="14" borderId="34" xfId="0" applyFont="1" applyFill="1" applyBorder="1"/>
    <xf numFmtId="0" fontId="0" fillId="14" borderId="10" xfId="0" applyFill="1" applyBorder="1"/>
    <xf numFmtId="0" fontId="0" fillId="0" borderId="0" xfId="0" applyFont="1" applyFill="1" applyBorder="1"/>
    <xf numFmtId="164" fontId="0" fillId="0" borderId="0" xfId="0" applyNumberFormat="1" applyFill="1" applyBorder="1" applyAlignment="1">
      <alignment horizontal="center"/>
    </xf>
    <xf numFmtId="164" fontId="0" fillId="0" borderId="0" xfId="0" applyNumberFormat="1" applyBorder="1" applyAlignment="1">
      <alignment horizontal="center"/>
    </xf>
    <xf numFmtId="0" fontId="0" fillId="0" borderId="0" xfId="0" applyAlignment="1">
      <alignment horizontal="center"/>
    </xf>
    <xf numFmtId="0" fontId="0" fillId="0" borderId="8" xfId="0" applyFont="1" applyBorder="1"/>
    <xf numFmtId="164" fontId="0" fillId="0" borderId="8" xfId="0" applyNumberFormat="1" applyFill="1" applyBorder="1" applyAlignment="1">
      <alignment horizontal="center"/>
    </xf>
    <xf numFmtId="164" fontId="0" fillId="0" borderId="8" xfId="0" applyNumberFormat="1" applyBorder="1" applyAlignment="1">
      <alignment horizontal="center"/>
    </xf>
    <xf numFmtId="0" fontId="0" fillId="0" borderId="8" xfId="0" applyFont="1" applyFill="1" applyBorder="1"/>
    <xf numFmtId="1" fontId="0" fillId="0" borderId="8" xfId="0" applyNumberFormat="1" applyBorder="1" applyAlignment="1">
      <alignment horizontal="center"/>
    </xf>
    <xf numFmtId="1" fontId="0" fillId="0" borderId="0" xfId="0" applyNumberFormat="1" applyAlignment="1">
      <alignment horizontal="center"/>
    </xf>
    <xf numFmtId="0" fontId="0" fillId="0" borderId="8" xfId="0" applyBorder="1" applyAlignment="1">
      <alignment horizontal="center"/>
    </xf>
    <xf numFmtId="164" fontId="0" fillId="0" borderId="0" xfId="0" applyNumberFormat="1" applyAlignment="1">
      <alignment horizontal="center"/>
    </xf>
    <xf numFmtId="164" fontId="0" fillId="0" borderId="0" xfId="0" applyNumberFormat="1" applyFont="1" applyAlignment="1">
      <alignment horizontal="center"/>
    </xf>
    <xf numFmtId="0" fontId="0" fillId="14" borderId="0" xfId="0" applyFill="1" applyBorder="1" applyAlignment="1">
      <alignment horizontal="right"/>
    </xf>
    <xf numFmtId="0" fontId="0" fillId="14" borderId="0" xfId="0" applyFont="1" applyFill="1" applyBorder="1" applyAlignment="1">
      <alignment horizontal="right"/>
    </xf>
    <xf numFmtId="0" fontId="0" fillId="14" borderId="30" xfId="0" applyFill="1" applyBorder="1" applyAlignment="1">
      <alignment horizontal="center"/>
    </xf>
    <xf numFmtId="0" fontId="0" fillId="14" borderId="50" xfId="0" applyFill="1" applyBorder="1" applyAlignment="1">
      <alignment horizontal="center"/>
    </xf>
    <xf numFmtId="0" fontId="0" fillId="14" borderId="29" xfId="0" applyFill="1" applyBorder="1" applyAlignment="1">
      <alignment horizontal="center"/>
    </xf>
    <xf numFmtId="11" fontId="0" fillId="14" borderId="29" xfId="0" applyNumberFormat="1" applyFill="1" applyBorder="1" applyAlignment="1">
      <alignment horizontal="center"/>
    </xf>
    <xf numFmtId="11" fontId="0" fillId="14" borderId="1" xfId="0" applyNumberFormat="1" applyFill="1" applyBorder="1" applyAlignment="1">
      <alignment horizontal="center"/>
    </xf>
    <xf numFmtId="11" fontId="0" fillId="14" borderId="29" xfId="0" applyNumberFormat="1" applyFont="1" applyFill="1" applyBorder="1" applyAlignment="1">
      <alignment horizontal="center"/>
    </xf>
    <xf numFmtId="11" fontId="0" fillId="14" borderId="1" xfId="0" applyNumberFormat="1" applyFont="1" applyFill="1" applyBorder="1" applyAlignment="1">
      <alignment horizontal="center"/>
    </xf>
    <xf numFmtId="1" fontId="8" fillId="14" borderId="0" xfId="0" applyNumberFormat="1" applyFont="1" applyFill="1" applyBorder="1" applyAlignment="1">
      <alignment horizontal="center"/>
    </xf>
    <xf numFmtId="2" fontId="0" fillId="14" borderId="0" xfId="0" applyNumberFormat="1" applyFont="1" applyFill="1" applyBorder="1"/>
    <xf numFmtId="2" fontId="0" fillId="18" borderId="0" xfId="0" applyNumberFormat="1" applyFill="1" applyBorder="1"/>
    <xf numFmtId="164" fontId="7" fillId="0" borderId="8" xfId="0" applyNumberFormat="1" applyFont="1" applyBorder="1"/>
    <xf numFmtId="164" fontId="7" fillId="0" borderId="31" xfId="0" applyNumberFormat="1" applyFont="1" applyFill="1" applyBorder="1"/>
    <xf numFmtId="164" fontId="2" fillId="0" borderId="1" xfId="0" applyNumberFormat="1" applyFont="1" applyFill="1" applyBorder="1"/>
    <xf numFmtId="164" fontId="50" fillId="14" borderId="1" xfId="0" applyNumberFormat="1" applyFont="1" applyFill="1" applyBorder="1"/>
    <xf numFmtId="1" fontId="29" fillId="0" borderId="14" xfId="0" applyNumberFormat="1" applyFont="1" applyFill="1" applyBorder="1" applyAlignment="1">
      <alignment horizontal="center"/>
    </xf>
    <xf numFmtId="1" fontId="0" fillId="14" borderId="0" xfId="0" applyNumberFormat="1" applyFont="1" applyFill="1" applyBorder="1"/>
    <xf numFmtId="1" fontId="0" fillId="14" borderId="18" xfId="0" applyNumberFormat="1" applyFont="1" applyFill="1" applyBorder="1"/>
    <xf numFmtId="164" fontId="29" fillId="14" borderId="15" xfId="0" applyNumberFormat="1" applyFont="1" applyFill="1" applyBorder="1" applyAlignment="1">
      <alignment horizontal="right"/>
    </xf>
    <xf numFmtId="164" fontId="29" fillId="14" borderId="48" xfId="0" applyNumberFormat="1" applyFont="1" applyFill="1" applyBorder="1" applyAlignment="1">
      <alignment horizontal="right"/>
    </xf>
    <xf numFmtId="164" fontId="29" fillId="14" borderId="46" xfId="0" applyNumberFormat="1" applyFont="1" applyFill="1" applyBorder="1" applyAlignment="1">
      <alignment horizontal="right"/>
    </xf>
    <xf numFmtId="0" fontId="0" fillId="0" borderId="0" xfId="0" applyFont="1" applyAlignment="1">
      <alignment horizontal="right"/>
    </xf>
    <xf numFmtId="164" fontId="0" fillId="2" borderId="1" xfId="0" applyNumberFormat="1" applyFill="1" applyBorder="1"/>
    <xf numFmtId="164" fontId="8" fillId="7" borderId="0" xfId="0" applyNumberFormat="1" applyFont="1" applyFill="1" applyBorder="1"/>
    <xf numFmtId="164" fontId="0" fillId="7" borderId="0" xfId="0" applyNumberFormat="1" applyFill="1" applyBorder="1"/>
    <xf numFmtId="164" fontId="0" fillId="2" borderId="3" xfId="0" applyNumberFormat="1" applyFill="1" applyBorder="1"/>
    <xf numFmtId="164" fontId="29" fillId="7" borderId="0" xfId="0" applyNumberFormat="1" applyFont="1" applyFill="1"/>
    <xf numFmtId="164" fontId="29" fillId="12" borderId="25" xfId="0" applyNumberFormat="1" applyFont="1" applyFill="1" applyBorder="1" applyAlignment="1">
      <alignment horizontal="center"/>
    </xf>
    <xf numFmtId="164" fontId="29" fillId="12" borderId="33" xfId="0" applyNumberFormat="1" applyFont="1" applyFill="1" applyBorder="1" applyAlignment="1" quotePrefix="1">
      <alignment horizontal="center"/>
    </xf>
    <xf numFmtId="164" fontId="29" fillId="12" borderId="14" xfId="0" applyNumberFormat="1" applyFont="1" applyFill="1" applyBorder="1" applyAlignment="1">
      <alignment horizontal="center"/>
    </xf>
    <xf numFmtId="164" fontId="29" fillId="12" borderId="31" xfId="0" applyNumberFormat="1" applyFont="1" applyFill="1" applyBorder="1" applyAlignment="1">
      <alignment horizontal="center"/>
    </xf>
    <xf numFmtId="164" fontId="29" fillId="12" borderId="5" xfId="0" applyNumberFormat="1" applyFont="1" applyFill="1" applyBorder="1" applyAlignment="1">
      <alignment horizontal="right"/>
    </xf>
    <xf numFmtId="164" fontId="29" fillId="6" borderId="0" xfId="0" applyNumberFormat="1" applyFont="1" applyFill="1"/>
    <xf numFmtId="164" fontId="29" fillId="2" borderId="1" xfId="0" applyNumberFormat="1" applyFont="1" applyFill="1" applyBorder="1"/>
    <xf numFmtId="164" fontId="29" fillId="0" borderId="25" xfId="0" applyNumberFormat="1" applyFont="1" applyFill="1" applyBorder="1" applyAlignment="1">
      <alignment horizontal="center"/>
    </xf>
    <xf numFmtId="164" fontId="29" fillId="0" borderId="33" xfId="0" applyNumberFormat="1" applyFont="1" applyFill="1" applyBorder="1" applyAlignment="1" quotePrefix="1">
      <alignment horizontal="center"/>
    </xf>
    <xf numFmtId="164" fontId="29" fillId="0" borderId="14" xfId="0" applyNumberFormat="1" applyFont="1" applyFill="1" applyBorder="1" applyAlignment="1">
      <alignment horizontal="center"/>
    </xf>
    <xf numFmtId="164" fontId="29" fillId="14" borderId="31" xfId="0" applyNumberFormat="1" applyFont="1" applyFill="1" applyBorder="1" applyAlignment="1">
      <alignment horizontal="center"/>
    </xf>
    <xf numFmtId="164" fontId="29" fillId="0" borderId="5" xfId="0" applyNumberFormat="1" applyFont="1" applyFill="1" applyBorder="1" applyAlignment="1">
      <alignment horizontal="right"/>
    </xf>
    <xf numFmtId="164" fontId="29" fillId="12" borderId="39" xfId="0" applyNumberFormat="1" applyFont="1" applyFill="1" applyBorder="1"/>
    <xf numFmtId="164" fontId="29" fillId="12" borderId="48" xfId="0" applyNumberFormat="1" applyFont="1" applyFill="1" applyBorder="1"/>
    <xf numFmtId="164" fontId="29" fillId="12" borderId="4" xfId="0" applyNumberFormat="1" applyFont="1" applyFill="1" applyBorder="1" applyAlignment="1">
      <alignment horizontal="right"/>
    </xf>
    <xf numFmtId="164" fontId="29" fillId="14" borderId="39" xfId="0" applyNumberFormat="1" applyFont="1" applyFill="1" applyBorder="1"/>
    <xf numFmtId="164" fontId="29" fillId="11" borderId="0" xfId="0" applyNumberFormat="1" applyFont="1" applyFill="1"/>
    <xf numFmtId="164" fontId="29" fillId="11" borderId="39" xfId="0" applyNumberFormat="1" applyFont="1" applyFill="1" applyBorder="1"/>
    <xf numFmtId="164" fontId="29" fillId="11" borderId="46" xfId="0" applyNumberFormat="1" applyFont="1" applyFill="1" applyBorder="1"/>
    <xf numFmtId="164" fontId="29" fillId="11" borderId="4" xfId="0" applyNumberFormat="1" applyFont="1" applyFill="1" applyBorder="1" applyAlignment="1">
      <alignment horizontal="right"/>
    </xf>
    <xf numFmtId="164" fontId="29" fillId="15" borderId="0" xfId="0" applyNumberFormat="1" applyFont="1" applyFill="1"/>
    <xf numFmtId="164" fontId="29" fillId="13" borderId="0" xfId="0" applyNumberFormat="1" applyFont="1" applyFill="1"/>
    <xf numFmtId="164" fontId="29" fillId="13" borderId="39" xfId="0" applyNumberFormat="1" applyFont="1" applyFill="1" applyBorder="1"/>
    <xf numFmtId="164" fontId="29" fillId="13" borderId="46" xfId="0" applyNumberFormat="1" applyFont="1" applyFill="1" applyBorder="1"/>
    <xf numFmtId="164" fontId="29" fillId="13" borderId="4" xfId="0" applyNumberFormat="1" applyFont="1" applyFill="1" applyBorder="1" applyAlignment="1">
      <alignment horizontal="right"/>
    </xf>
    <xf numFmtId="164" fontId="0" fillId="12" borderId="0" xfId="0" applyNumberFormat="1" applyFont="1" applyFill="1"/>
    <xf numFmtId="164" fontId="0" fillId="12" borderId="39" xfId="0" applyNumberFormat="1" applyFont="1" applyFill="1" applyBorder="1"/>
    <xf numFmtId="164" fontId="0" fillId="12" borderId="46" xfId="0" applyNumberFormat="1" applyFill="1" applyBorder="1"/>
    <xf numFmtId="164" fontId="0" fillId="12" borderId="4" xfId="0" applyNumberFormat="1" applyFont="1" applyFill="1" applyBorder="1" applyAlignment="1">
      <alignment horizontal="right"/>
    </xf>
    <xf numFmtId="164" fontId="0" fillId="6" borderId="0" xfId="0" applyNumberFormat="1" applyFont="1" applyFill="1"/>
    <xf numFmtId="164" fontId="0" fillId="14" borderId="39" xfId="0" applyNumberFormat="1" applyFont="1" applyFill="1" applyBorder="1"/>
    <xf numFmtId="164" fontId="0" fillId="14" borderId="46" xfId="0" applyNumberFormat="1" applyFill="1" applyBorder="1"/>
    <xf numFmtId="164" fontId="29" fillId="11" borderId="17" xfId="0" applyNumberFormat="1" applyFont="1" applyFill="1" applyBorder="1"/>
    <xf numFmtId="164" fontId="29" fillId="11" borderId="47" xfId="0" applyNumberFormat="1" applyFont="1" applyFill="1" applyBorder="1"/>
    <xf numFmtId="164" fontId="29" fillId="11" borderId="2" xfId="0" applyNumberFormat="1" applyFont="1" applyFill="1" applyBorder="1" applyAlignment="1">
      <alignment horizontal="right"/>
    </xf>
    <xf numFmtId="164" fontId="29" fillId="14" borderId="17" xfId="0" applyNumberFormat="1" applyFont="1" applyFill="1" applyBorder="1"/>
    <xf numFmtId="164" fontId="29" fillId="14" borderId="47" xfId="0" applyNumberFormat="1" applyFont="1" applyFill="1" applyBorder="1"/>
    <xf numFmtId="164" fontId="29" fillId="14" borderId="2" xfId="0" applyNumberFormat="1" applyFont="1" applyFill="1" applyBorder="1" applyAlignment="1">
      <alignment horizontal="right"/>
    </xf>
    <xf numFmtId="164" fontId="0" fillId="7" borderId="27" xfId="0" applyNumberFormat="1" applyFont="1" applyFill="1" applyBorder="1"/>
    <xf numFmtId="164" fontId="0" fillId="7" borderId="18" xfId="0" applyNumberFormat="1" applyFont="1" applyFill="1" applyBorder="1"/>
    <xf numFmtId="1" fontId="7" fillId="2" borderId="13" xfId="0" applyNumberFormat="1" applyFont="1" applyFill="1" applyBorder="1"/>
    <xf numFmtId="1" fontId="2" fillId="14" borderId="0" xfId="0" applyNumberFormat="1" applyFont="1" applyFill="1"/>
    <xf numFmtId="1" fontId="2" fillId="7" borderId="0" xfId="0" applyNumberFormat="1" applyFont="1" applyFill="1"/>
    <xf numFmtId="1" fontId="2" fillId="7" borderId="26" xfId="0" applyNumberFormat="1" applyFont="1" applyFill="1" applyBorder="1"/>
    <xf numFmtId="1" fontId="2" fillId="7" borderId="1" xfId="0" applyNumberFormat="1" applyFont="1" applyFill="1" applyBorder="1"/>
    <xf numFmtId="1" fontId="2" fillId="15" borderId="0" xfId="0" applyNumberFormat="1" applyFont="1" applyFill="1"/>
    <xf numFmtId="1" fontId="2" fillId="6" borderId="0" xfId="0" applyNumberFormat="1" applyFont="1" applyFill="1"/>
    <xf numFmtId="1" fontId="0" fillId="6" borderId="0" xfId="0" applyNumberFormat="1" applyFill="1"/>
    <xf numFmtId="1" fontId="0" fillId="7" borderId="0" xfId="0" applyNumberFormat="1" applyFont="1" applyFill="1"/>
    <xf numFmtId="1" fontId="0" fillId="7" borderId="0" xfId="0" applyNumberFormat="1" applyFill="1"/>
    <xf numFmtId="1" fontId="7" fillId="2" borderId="0" xfId="0" applyNumberFormat="1" applyFont="1" applyFill="1" applyBorder="1"/>
    <xf numFmtId="1" fontId="8" fillId="2" borderId="8" xfId="0" applyNumberFormat="1" applyFont="1" applyFill="1" applyBorder="1"/>
    <xf numFmtId="1" fontId="7" fillId="2" borderId="8" xfId="0" applyNumberFormat="1" applyFont="1" applyFill="1" applyBorder="1"/>
    <xf numFmtId="1" fontId="7" fillId="7" borderId="14" xfId="0" applyNumberFormat="1" applyFont="1" applyFill="1" applyBorder="1"/>
    <xf numFmtId="1" fontId="8" fillId="7" borderId="6" xfId="0" applyNumberFormat="1" applyFont="1" applyFill="1" applyBorder="1"/>
    <xf numFmtId="1" fontId="7" fillId="7" borderId="6" xfId="0" applyNumberFormat="1" applyFont="1" applyFill="1" applyBorder="1"/>
    <xf numFmtId="1" fontId="8" fillId="7" borderId="25" xfId="0" applyNumberFormat="1" applyFont="1" applyFill="1" applyBorder="1"/>
    <xf numFmtId="1" fontId="7" fillId="14" borderId="16" xfId="0" applyNumberFormat="1" applyFont="1" applyFill="1" applyBorder="1"/>
    <xf numFmtId="1" fontId="2" fillId="7" borderId="0" xfId="0" applyNumberFormat="1" applyFont="1" applyFill="1" applyBorder="1"/>
    <xf numFmtId="1" fontId="2" fillId="7" borderId="3" xfId="0" applyNumberFormat="1" applyFont="1" applyFill="1" applyBorder="1"/>
    <xf numFmtId="1" fontId="50" fillId="7" borderId="0" xfId="0" applyNumberFormat="1" applyFont="1" applyFill="1" applyBorder="1"/>
    <xf numFmtId="1" fontId="50" fillId="7" borderId="1" xfId="0" applyNumberFormat="1" applyFont="1" applyFill="1" applyBorder="1"/>
    <xf numFmtId="1" fontId="50" fillId="11" borderId="1" xfId="0" applyNumberFormat="1" applyFont="1" applyFill="1" applyBorder="1"/>
    <xf numFmtId="1" fontId="50" fillId="13" borderId="1" xfId="0" applyNumberFormat="1" applyFont="1" applyFill="1" applyBorder="1"/>
    <xf numFmtId="1" fontId="2" fillId="12" borderId="1" xfId="0" applyNumberFormat="1" applyFont="1" applyFill="1" applyBorder="1"/>
    <xf numFmtId="1" fontId="2" fillId="7" borderId="18" xfId="0" applyNumberFormat="1" applyFont="1" applyFill="1" applyBorder="1"/>
    <xf numFmtId="1" fontId="50" fillId="7" borderId="0" xfId="0" applyNumberFormat="1" applyFont="1" applyFill="1"/>
    <xf numFmtId="1" fontId="50" fillId="11" borderId="0" xfId="0" applyNumberFormat="1" applyFont="1" applyFill="1"/>
    <xf numFmtId="1" fontId="50" fillId="13" borderId="0" xfId="0" applyNumberFormat="1" applyFont="1" applyFill="1"/>
    <xf numFmtId="1" fontId="2" fillId="12" borderId="0" xfId="0" applyNumberFormat="1" applyFont="1" applyFill="1"/>
    <xf numFmtId="1" fontId="29" fillId="0" borderId="0" xfId="0" applyNumberFormat="1" applyFont="1"/>
    <xf numFmtId="2" fontId="2" fillId="2" borderId="0" xfId="0" applyNumberFormat="1" applyFont="1" applyFill="1"/>
    <xf numFmtId="1" fontId="0" fillId="0" borderId="32" xfId="0" applyNumberFormat="1" applyBorder="1" applyAlignment="1">
      <alignment horizontal="center"/>
    </xf>
    <xf numFmtId="1" fontId="0" fillId="0" borderId="22" xfId="0" applyNumberFormat="1" applyBorder="1" applyAlignment="1">
      <alignment horizontal="center"/>
    </xf>
    <xf numFmtId="1" fontId="0" fillId="0" borderId="23" xfId="0" applyNumberFormat="1" applyBorder="1" applyAlignment="1">
      <alignment horizontal="center"/>
    </xf>
    <xf numFmtId="0" fontId="23" fillId="0" borderId="41" xfId="0" applyFont="1" applyBorder="1" applyAlignment="1">
      <alignment horizontal="center"/>
    </xf>
    <xf numFmtId="0" fontId="19" fillId="14" borderId="0" xfId="0" applyFont="1" applyFill="1"/>
    <xf numFmtId="2" fontId="19" fillId="14" borderId="0" xfId="0" applyNumberFormat="1" applyFont="1" applyFill="1" applyBorder="1"/>
    <xf numFmtId="0" fontId="19" fillId="14" borderId="0" xfId="0" applyFont="1" applyFill="1" applyAlignment="1">
      <alignment horizontal="right"/>
    </xf>
    <xf numFmtId="0" fontId="49" fillId="16" borderId="31" xfId="0" applyFont="1" applyFill="1" applyBorder="1" applyAlignment="1" quotePrefix="1">
      <alignment horizontal="center"/>
    </xf>
    <xf numFmtId="2" fontId="19" fillId="14" borderId="0" xfId="0" applyNumberFormat="1" applyFont="1" applyFill="1" applyBorder="1" applyAlignment="1">
      <alignment horizontal="right"/>
    </xf>
    <xf numFmtId="2" fontId="6" fillId="14" borderId="1" xfId="0" applyNumberFormat="1" applyFont="1" applyFill="1" applyBorder="1" applyAlignment="1">
      <alignment horizontal="right"/>
    </xf>
    <xf numFmtId="0" fontId="49" fillId="18" borderId="0" xfId="0" applyFont="1" applyFill="1" applyBorder="1" applyAlignment="1" quotePrefix="1">
      <alignment/>
    </xf>
    <xf numFmtId="2" fontId="59" fillId="18" borderId="0" xfId="0" applyNumberFormat="1" applyFont="1" applyFill="1"/>
    <xf numFmtId="165" fontId="60" fillId="18" borderId="31" xfId="0" applyNumberFormat="1" applyFont="1" applyFill="1" applyBorder="1"/>
    <xf numFmtId="0" fontId="5" fillId="25" borderId="31" xfId="0" applyFont="1" applyFill="1" applyBorder="1" applyAlignment="1">
      <alignment horizontal="center"/>
    </xf>
    <xf numFmtId="0" fontId="0" fillId="0" borderId="0" xfId="0" applyFont="1" applyAlignment="1">
      <alignment wrapText="1"/>
    </xf>
    <xf numFmtId="0" fontId="0" fillId="0" borderId="0" xfId="0" applyFont="1" applyFill="1" applyAlignment="1">
      <alignment horizontal="right"/>
    </xf>
    <xf numFmtId="164" fontId="19" fillId="0" borderId="34" xfId="0" applyNumberFormat="1" applyFont="1" applyBorder="1" quotePrefix="1"/>
    <xf numFmtId="0" fontId="0" fillId="0" borderId="19" xfId="0" applyBorder="1" applyAlignment="1">
      <alignment horizontal="center"/>
    </xf>
    <xf numFmtId="0" fontId="9" fillId="7" borderId="7" xfId="0" applyFont="1" applyFill="1" applyBorder="1" applyAlignment="1">
      <alignment horizontal="center"/>
    </xf>
    <xf numFmtId="0" fontId="9" fillId="7" borderId="8" xfId="0" applyFont="1" applyFill="1" applyBorder="1" applyAlignment="1">
      <alignment horizontal="center"/>
    </xf>
    <xf numFmtId="0" fontId="0" fillId="0" borderId="0" xfId="0" applyFont="1" applyFill="1" applyBorder="1" applyAlignment="1">
      <alignment horizontal="right"/>
    </xf>
    <xf numFmtId="0" fontId="0" fillId="0" borderId="0" xfId="0" applyFill="1" applyBorder="1" applyAlignment="1">
      <alignment horizontal="center"/>
    </xf>
    <xf numFmtId="49" fontId="0" fillId="0" borderId="0" xfId="0" applyNumberFormat="1" applyFill="1" applyBorder="1"/>
    <xf numFmtId="49" fontId="0" fillId="0" borderId="0" xfId="0" applyNumberFormat="1" applyFont="1" applyFill="1" applyBorder="1"/>
    <xf numFmtId="0" fontId="2" fillId="0" borderId="0" xfId="0" applyFont="1" applyFill="1" applyBorder="1" applyAlignment="1">
      <alignment horizontal="right"/>
    </xf>
    <xf numFmtId="0" fontId="62" fillId="0" borderId="0" xfId="0" applyFont="1" applyAlignment="1">
      <alignment horizontal="right"/>
    </xf>
    <xf numFmtId="1" fontId="0" fillId="0" borderId="0" xfId="0" applyNumberFormat="1"/>
    <xf numFmtId="0" fontId="0" fillId="0" borderId="0" xfId="0" applyAlignment="1">
      <alignment horizontal="left"/>
    </xf>
    <xf numFmtId="1" fontId="0" fillId="0" borderId="0" xfId="0" applyNumberFormat="1" applyAlignment="1">
      <alignment horizontal="left"/>
    </xf>
    <xf numFmtId="0" fontId="55" fillId="0" borderId="0" xfId="0" applyFont="1" applyFill="1" applyBorder="1"/>
    <xf numFmtId="0" fontId="2" fillId="0" borderId="0" xfId="0" applyFont="1" applyAlignment="1">
      <alignment horizontal="right"/>
    </xf>
    <xf numFmtId="164" fontId="2" fillId="0" borderId="0" xfId="0" applyNumberFormat="1" applyFont="1" applyAlignment="1">
      <alignment horizontal="center"/>
    </xf>
    <xf numFmtId="164" fontId="29" fillId="0" borderId="0" xfId="0" applyNumberFormat="1" applyFont="1" applyAlignment="1">
      <alignment horizontal="center"/>
    </xf>
    <xf numFmtId="164" fontId="29" fillId="0" borderId="8" xfId="0" applyNumberFormat="1" applyFont="1" applyBorder="1" applyAlignment="1">
      <alignment horizontal="center"/>
    </xf>
    <xf numFmtId="2" fontId="7" fillId="2" borderId="10" xfId="0" applyNumberFormat="1" applyFont="1" applyFill="1" applyBorder="1"/>
    <xf numFmtId="2" fontId="6" fillId="7" borderId="29" xfId="0" applyNumberFormat="1" applyFont="1" applyFill="1" applyBorder="1" applyAlignment="1">
      <alignment horizontal="center"/>
    </xf>
    <xf numFmtId="2" fontId="6" fillId="7" borderId="0" xfId="0" applyNumberFormat="1" applyFont="1" applyFill="1" applyAlignment="1">
      <alignment horizontal="center"/>
    </xf>
    <xf numFmtId="2" fontId="0" fillId="14" borderId="36" xfId="0" applyNumberFormat="1" applyFont="1" applyFill="1" applyBorder="1" applyAlignment="1">
      <alignment horizontal="center"/>
    </xf>
    <xf numFmtId="2" fontId="0" fillId="14" borderId="36" xfId="0" applyNumberFormat="1" applyFill="1" applyBorder="1" applyAlignment="1">
      <alignment horizontal="center"/>
    </xf>
    <xf numFmtId="2" fontId="0" fillId="14" borderId="20" xfId="0" applyNumberFormat="1" applyFill="1" applyBorder="1" applyAlignment="1">
      <alignment horizontal="center"/>
    </xf>
    <xf numFmtId="2" fontId="0" fillId="14" borderId="32" xfId="0" applyNumberFormat="1" applyFont="1" applyFill="1" applyBorder="1" applyAlignment="1">
      <alignment horizontal="center" wrapText="1"/>
    </xf>
    <xf numFmtId="2" fontId="0" fillId="14" borderId="22" xfId="0" applyNumberFormat="1" applyFill="1" applyBorder="1" applyAlignment="1">
      <alignment horizontal="center" wrapText="1"/>
    </xf>
    <xf numFmtId="2" fontId="0" fillId="14" borderId="23" xfId="0" applyNumberFormat="1" applyFill="1" applyBorder="1" applyAlignment="1">
      <alignment horizontal="center" wrapText="1"/>
    </xf>
    <xf numFmtId="0" fontId="56" fillId="16" borderId="30" xfId="0" applyFont="1" applyFill="1" applyBorder="1" applyAlignment="1">
      <alignment horizontal="center" wrapText="1"/>
    </xf>
    <xf numFmtId="0" fontId="56" fillId="16" borderId="26" xfId="0" applyFont="1" applyFill="1" applyBorder="1" applyAlignment="1">
      <alignment horizontal="center" wrapText="1"/>
    </xf>
    <xf numFmtId="0" fontId="56" fillId="16" borderId="50" xfId="0" applyFont="1" applyFill="1" applyBorder="1" applyAlignment="1">
      <alignment horizontal="center" wrapText="1"/>
    </xf>
    <xf numFmtId="0" fontId="56" fillId="16" borderId="29" xfId="0" applyFont="1" applyFill="1" applyBorder="1" applyAlignment="1">
      <alignment horizontal="center" wrapText="1"/>
    </xf>
    <xf numFmtId="0" fontId="56" fillId="16" borderId="0" xfId="0" applyFont="1" applyFill="1" applyBorder="1" applyAlignment="1">
      <alignment horizontal="center" wrapText="1"/>
    </xf>
    <xf numFmtId="0" fontId="56" fillId="16" borderId="1" xfId="0" applyFont="1" applyFill="1" applyBorder="1" applyAlignment="1">
      <alignment horizontal="center" wrapText="1"/>
    </xf>
    <xf numFmtId="0" fontId="56" fillId="16" borderId="27" xfId="0" applyFont="1" applyFill="1" applyBorder="1" applyAlignment="1">
      <alignment horizontal="center" wrapText="1"/>
    </xf>
    <xf numFmtId="0" fontId="56" fillId="16" borderId="18" xfId="0" applyFont="1" applyFill="1" applyBorder="1" applyAlignment="1">
      <alignment horizontal="center" wrapText="1"/>
    </xf>
    <xf numFmtId="0" fontId="56" fillId="16" borderId="3" xfId="0" applyFont="1" applyFill="1" applyBorder="1" applyAlignment="1">
      <alignment horizontal="center" wrapText="1"/>
    </xf>
    <xf numFmtId="2" fontId="0" fillId="0" borderId="19" xfId="0" applyNumberFormat="1" applyFont="1" applyFill="1" applyBorder="1" applyAlignment="1" applyProtection="1">
      <alignment horizontal="center"/>
      <protection locked="0"/>
    </xf>
    <xf numFmtId="2" fontId="0" fillId="0" borderId="36" xfId="0" applyNumberFormat="1" applyFill="1" applyBorder="1" applyAlignment="1" applyProtection="1">
      <alignment horizontal="center"/>
      <protection locked="0"/>
    </xf>
    <xf numFmtId="2" fontId="0" fillId="0" borderId="20" xfId="0" applyNumberFormat="1" applyFill="1" applyBorder="1" applyAlignment="1" applyProtection="1">
      <alignment horizontal="center"/>
      <protection locked="0"/>
    </xf>
    <xf numFmtId="0" fontId="0" fillId="14" borderId="0" xfId="0" applyFont="1" applyFill="1" applyAlignment="1">
      <alignment horizontal="center"/>
    </xf>
    <xf numFmtId="0" fontId="0" fillId="14" borderId="0" xfId="0" applyFill="1" applyAlignment="1">
      <alignment horizontal="center"/>
    </xf>
    <xf numFmtId="2" fontId="0" fillId="14" borderId="19" xfId="0" applyNumberFormat="1" applyFont="1" applyFill="1" applyBorder="1" applyAlignment="1">
      <alignment horizontal="center"/>
    </xf>
    <xf numFmtId="0" fontId="2" fillId="0" borderId="0" xfId="0" applyFont="1" applyAlignment="1">
      <alignment horizontal="right" wrapText="1"/>
    </xf>
    <xf numFmtId="2" fontId="2" fillId="12" borderId="0" xfId="0" applyNumberFormat="1" applyFont="1" applyFill="1" applyAlignment="1">
      <alignment horizontal="center"/>
    </xf>
    <xf numFmtId="0" fontId="0" fillId="0" borderId="38" xfId="0" applyFont="1" applyBorder="1" applyAlignment="1">
      <alignment horizontal="center"/>
    </xf>
    <xf numFmtId="0" fontId="0" fillId="25" borderId="0" xfId="0" applyFont="1" applyFill="1" applyAlignment="1">
      <alignment horizontal="center" vertical="center" wrapText="1"/>
    </xf>
    <xf numFmtId="0" fontId="0" fillId="0" borderId="38" xfId="0" applyFont="1" applyBorder="1" applyAlignment="1">
      <alignment horizontal="center" wrapText="1"/>
    </xf>
    <xf numFmtId="0" fontId="0" fillId="0" borderId="19" xfId="0" applyFont="1" applyBorder="1" applyAlignment="1">
      <alignment horizontal="center"/>
    </xf>
    <xf numFmtId="0" fontId="0" fillId="0" borderId="36" xfId="0" applyFont="1" applyBorder="1" applyAlignment="1">
      <alignment horizontal="center"/>
    </xf>
    <xf numFmtId="0" fontId="0" fillId="0" borderId="20" xfId="0" applyFont="1" applyBorder="1" applyAlignment="1">
      <alignment horizontal="center"/>
    </xf>
    <xf numFmtId="0" fontId="0" fillId="0" borderId="3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Font="1" applyAlignment="1">
      <alignment horizontal="center" wrapText="1"/>
    </xf>
    <xf numFmtId="0" fontId="0" fillId="18" borderId="0" xfId="0" applyFont="1" applyFill="1" applyAlignment="1">
      <alignment horizontal="left" wrapText="1"/>
    </xf>
    <xf numFmtId="0" fontId="6" fillId="34" borderId="25" xfId="0" applyFont="1" applyFill="1" applyBorder="1" applyAlignment="1">
      <alignment horizontal="center"/>
    </xf>
    <xf numFmtId="0" fontId="6" fillId="34" borderId="6" xfId="0" applyFont="1" applyFill="1" applyBorder="1" applyAlignment="1">
      <alignment horizontal="center"/>
    </xf>
    <xf numFmtId="0" fontId="6" fillId="34" borderId="14" xfId="0" applyFont="1" applyFill="1" applyBorder="1" applyAlignment="1">
      <alignment horizontal="center"/>
    </xf>
    <xf numFmtId="0" fontId="23" fillId="0" borderId="0" xfId="0" applyNumberFormat="1" applyFont="1" applyAlignment="1">
      <alignment horizontal="left" wrapText="1"/>
    </xf>
    <xf numFmtId="0" fontId="23" fillId="0" borderId="1" xfId="0" applyNumberFormat="1" applyFont="1" applyBorder="1" applyAlignment="1">
      <alignment horizontal="left" wrapText="1"/>
    </xf>
    <xf numFmtId="0" fontId="23" fillId="0" borderId="0" xfId="0" applyFont="1" applyFill="1" applyAlignment="1">
      <alignment horizontal="left" wrapText="1"/>
    </xf>
    <xf numFmtId="0" fontId="6" fillId="7" borderId="25" xfId="0" applyFont="1" applyFill="1" applyBorder="1" applyAlignment="1">
      <alignment horizontal="center"/>
    </xf>
    <xf numFmtId="0" fontId="6" fillId="7" borderId="6" xfId="0" applyFont="1" applyFill="1" applyBorder="1" applyAlignment="1">
      <alignment horizontal="center"/>
    </xf>
    <xf numFmtId="0" fontId="6" fillId="7" borderId="14" xfId="0" applyFont="1" applyFill="1" applyBorder="1" applyAlignment="1">
      <alignment horizontal="center"/>
    </xf>
    <xf numFmtId="0" fontId="23" fillId="0" borderId="0" xfId="0" applyFont="1" applyAlignment="1">
      <alignment horizontal="left" wrapText="1"/>
    </xf>
    <xf numFmtId="0" fontId="0" fillId="0" borderId="0" xfId="0" applyNumberFormat="1" applyFont="1" applyAlignment="1">
      <alignment horizontal="left" wrapText="1"/>
    </xf>
    <xf numFmtId="0" fontId="2" fillId="0" borderId="0" xfId="0" applyNumberFormat="1" applyFont="1" applyAlignment="1">
      <alignment horizontal="left" wrapText="1"/>
    </xf>
    <xf numFmtId="0" fontId="0" fillId="0" borderId="0" xfId="0" applyNumberFormat="1" applyAlignment="1">
      <alignment horizontal="left" wrapText="1"/>
    </xf>
    <xf numFmtId="0" fontId="0" fillId="0" borderId="30" xfId="0" applyBorder="1" applyAlignment="1">
      <alignment horizontal="center"/>
    </xf>
    <xf numFmtId="0" fontId="0" fillId="0" borderId="26" xfId="0" applyBorder="1" applyAlignment="1">
      <alignment horizontal="center"/>
    </xf>
    <xf numFmtId="0" fontId="0" fillId="0" borderId="50" xfId="0" applyBorder="1" applyAlignment="1">
      <alignment horizontal="center"/>
    </xf>
    <xf numFmtId="0" fontId="0" fillId="0" borderId="19" xfId="0" applyBorder="1" applyAlignment="1">
      <alignment horizontal="center"/>
    </xf>
    <xf numFmtId="0" fontId="0" fillId="0" borderId="36" xfId="0" applyBorder="1" applyAlignment="1">
      <alignment horizontal="center"/>
    </xf>
    <xf numFmtId="0" fontId="0" fillId="0" borderId="18" xfId="0"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5" fillId="7" borderId="0" xfId="0" applyFont="1" applyFill="1" applyAlignment="1">
      <alignment horizontal="center"/>
    </xf>
    <xf numFmtId="0" fontId="5" fillId="7" borderId="1" xfId="0" applyFont="1" applyFill="1" applyBorder="1" applyAlignment="1">
      <alignment horizontal="center"/>
    </xf>
    <xf numFmtId="0" fontId="63" fillId="0" borderId="0" xfId="0" applyFont="1" applyAlignment="1">
      <alignment horizontal="right" wrapText="1"/>
    </xf>
    <xf numFmtId="164" fontId="64" fillId="0" borderId="32" xfId="0" applyNumberFormat="1" applyFont="1" applyBorder="1" applyAlignment="1">
      <alignment horizontal="center" vertical="center"/>
    </xf>
    <xf numFmtId="164" fontId="64" fillId="0" borderId="23" xfId="0" applyNumberFormat="1" applyFont="1" applyBorder="1" applyAlignment="1">
      <alignment horizontal="center" vertical="center"/>
    </xf>
    <xf numFmtId="0" fontId="61" fillId="0" borderId="0" xfId="0" applyFont="1" applyAlignment="1">
      <alignment horizontal="center" wrapText="1"/>
    </xf>
    <xf numFmtId="0" fontId="61" fillId="0" borderId="18" xfId="0" applyFont="1" applyBorder="1" applyAlignment="1">
      <alignment horizontal="center" wrapText="1"/>
    </xf>
    <xf numFmtId="0" fontId="5" fillId="0" borderId="0" xfId="0" applyFont="1" applyAlignment="1">
      <alignment horizontal="center"/>
    </xf>
    <xf numFmtId="0" fontId="5" fillId="0" borderId="1" xfId="0" applyFont="1" applyBorder="1" applyAlignment="1">
      <alignment horizontal="center"/>
    </xf>
    <xf numFmtId="0" fontId="54" fillId="0" borderId="9" xfId="0" applyFont="1" applyFill="1" applyBorder="1" applyAlignment="1">
      <alignment horizontal="center"/>
    </xf>
    <xf numFmtId="0" fontId="54" fillId="0" borderId="7" xfId="0" applyFont="1" applyFill="1" applyBorder="1" applyAlignment="1">
      <alignment horizontal="center"/>
    </xf>
    <xf numFmtId="0" fontId="54" fillId="0" borderId="16" xfId="0" applyFont="1" applyFill="1" applyBorder="1" applyAlignment="1">
      <alignment horizontal="center"/>
    </xf>
    <xf numFmtId="0" fontId="54" fillId="0" borderId="34" xfId="0" applyFont="1" applyFill="1" applyBorder="1" applyAlignment="1">
      <alignment horizontal="center"/>
    </xf>
    <xf numFmtId="0" fontId="54" fillId="0" borderId="0" xfId="0" applyFont="1" applyFill="1" applyBorder="1" applyAlignment="1">
      <alignment horizontal="center"/>
    </xf>
    <xf numFmtId="0" fontId="54" fillId="0" borderId="39" xfId="0" applyFont="1" applyFill="1" applyBorder="1" applyAlignment="1">
      <alignment horizontal="center"/>
    </xf>
    <xf numFmtId="0" fontId="54" fillId="0" borderId="10" xfId="0" applyFont="1" applyFill="1" applyBorder="1" applyAlignment="1">
      <alignment horizontal="center"/>
    </xf>
    <xf numFmtId="0" fontId="54" fillId="0" borderId="8" xfId="0" applyFont="1" applyFill="1" applyBorder="1" applyAlignment="1">
      <alignment horizontal="center"/>
    </xf>
    <xf numFmtId="0" fontId="54" fillId="0" borderId="17" xfId="0" applyFont="1" applyFill="1" applyBorder="1" applyAlignment="1">
      <alignment horizontal="center"/>
    </xf>
    <xf numFmtId="0" fontId="9" fillId="7" borderId="7" xfId="0" applyFont="1" applyFill="1" applyBorder="1" applyAlignment="1">
      <alignment horizontal="center"/>
    </xf>
    <xf numFmtId="0" fontId="9" fillId="7" borderId="8" xfId="0" applyFont="1" applyFill="1" applyBorder="1" applyAlignment="1">
      <alignment horizontal="center"/>
    </xf>
    <xf numFmtId="164" fontId="9" fillId="2" borderId="7" xfId="0" applyNumberFormat="1" applyFont="1" applyFill="1" applyBorder="1" applyAlignment="1">
      <alignment horizontal="center"/>
    </xf>
    <xf numFmtId="164" fontId="9" fillId="2" borderId="8" xfId="0" applyNumberFormat="1" applyFont="1" applyFill="1" applyBorder="1" applyAlignment="1">
      <alignment horizontal="center"/>
    </xf>
    <xf numFmtId="11" fontId="2" fillId="16" borderId="25" xfId="0" applyNumberFormat="1" applyFont="1" applyFill="1" applyBorder="1" applyAlignment="1">
      <alignment horizontal="center"/>
    </xf>
    <xf numFmtId="11" fontId="2" fillId="16" borderId="14" xfId="0" applyNumberFormat="1" applyFont="1" applyFill="1" applyBorder="1" applyAlignment="1">
      <alignment horizontal="center"/>
    </xf>
    <xf numFmtId="11" fontId="0" fillId="14" borderId="29" xfId="0" applyNumberFormat="1" applyFont="1" applyFill="1" applyBorder="1" applyAlignment="1">
      <alignment horizontal="center"/>
    </xf>
    <xf numFmtId="11" fontId="0" fillId="14" borderId="1" xfId="0" applyNumberFormat="1" applyFont="1" applyFill="1" applyBorder="1" applyAlignment="1">
      <alignment horizontal="center"/>
    </xf>
    <xf numFmtId="0" fontId="23" fillId="14" borderId="7" xfId="0" applyFont="1" applyFill="1" applyBorder="1" applyAlignment="1">
      <alignment horizontal="center" wrapText="1"/>
    </xf>
    <xf numFmtId="0" fontId="23" fillId="14" borderId="0" xfId="0" applyFont="1" applyFill="1" applyBorder="1" applyAlignment="1">
      <alignment horizontal="center" wrapText="1"/>
    </xf>
    <xf numFmtId="164" fontId="0" fillId="14" borderId="7" xfId="0" applyNumberFormat="1" applyFill="1" applyBorder="1" applyAlignment="1">
      <alignment horizontal="center" vertical="top" wrapText="1"/>
    </xf>
    <xf numFmtId="164" fontId="0" fillId="14" borderId="0" xfId="0" applyNumberFormat="1" applyFill="1" applyBorder="1" applyAlignment="1">
      <alignment horizontal="center" vertical="top" wrapText="1"/>
    </xf>
    <xf numFmtId="2" fontId="29" fillId="0" borderId="9" xfId="0" applyNumberFormat="1" applyFont="1" applyFill="1" applyBorder="1" applyAlignment="1">
      <alignment horizontal="center" wrapText="1"/>
    </xf>
    <xf numFmtId="2" fontId="29" fillId="0" borderId="16" xfId="0" applyNumberFormat="1" applyFont="1" applyFill="1" applyBorder="1" applyAlignment="1">
      <alignment horizontal="center" wrapText="1"/>
    </xf>
    <xf numFmtId="2" fontId="29" fillId="0" borderId="10" xfId="0" applyNumberFormat="1" applyFont="1" applyFill="1" applyBorder="1" applyAlignment="1">
      <alignment horizontal="center" wrapText="1"/>
    </xf>
    <xf numFmtId="2" fontId="29" fillId="0" borderId="17" xfId="0" applyNumberFormat="1" applyFont="1" applyFill="1" applyBorder="1" applyAlignment="1">
      <alignment horizontal="center" wrapText="1"/>
    </xf>
    <xf numFmtId="0" fontId="0" fillId="0" borderId="0" xfId="0" applyNumberFormat="1" applyBorder="1" applyAlignment="1">
      <alignment horizontal="center" wrapText="1"/>
    </xf>
    <xf numFmtId="3" fontId="23" fillId="0" borderId="38" xfId="0" applyNumberFormat="1" applyFont="1" applyBorder="1" applyAlignment="1">
      <alignment horizontal="center" vertical="center" wrapText="1"/>
    </xf>
    <xf numFmtId="3" fontId="23" fillId="0" borderId="38" xfId="0" applyNumberFormat="1" applyFont="1" applyBorder="1" applyAlignment="1">
      <alignment horizontal="center" wrapText="1"/>
    </xf>
    <xf numFmtId="49" fontId="33" fillId="0" borderId="48" xfId="0" applyNumberFormat="1" applyFont="1" applyBorder="1" applyAlignment="1">
      <alignment horizontal="center" vertical="center" wrapText="1"/>
    </xf>
    <xf numFmtId="49" fontId="33" fillId="0" borderId="46" xfId="0" applyNumberFormat="1" applyFont="1" applyBorder="1" applyAlignment="1">
      <alignment horizontal="center" vertical="center" wrapText="1"/>
    </xf>
    <xf numFmtId="49" fontId="33" fillId="0" borderId="47" xfId="0" applyNumberFormat="1" applyFont="1" applyBorder="1" applyAlignment="1">
      <alignment horizontal="center" vertical="center" wrapText="1"/>
    </xf>
    <xf numFmtId="49" fontId="32" fillId="0" borderId="15" xfId="0" applyNumberFormat="1" applyFont="1" applyBorder="1" applyAlignment="1">
      <alignment horizontal="center" vertical="center" textRotation="90" wrapText="1"/>
    </xf>
    <xf numFmtId="49" fontId="32" fillId="0" borderId="4" xfId="0" applyNumberFormat="1" applyFont="1" applyBorder="1" applyAlignment="1">
      <alignment horizontal="center" vertical="center" textRotation="90" wrapText="1"/>
    </xf>
    <xf numFmtId="49" fontId="32" fillId="0" borderId="2" xfId="0" applyNumberFormat="1" applyFont="1" applyBorder="1" applyAlignment="1">
      <alignment horizontal="center" vertical="center" textRotation="90" wrapText="1"/>
    </xf>
    <xf numFmtId="49" fontId="32" fillId="0" borderId="51" xfId="0" applyNumberFormat="1" applyFont="1" applyBorder="1" applyAlignment="1">
      <alignment horizontal="center" vertical="center" textRotation="90" wrapText="1"/>
    </xf>
    <xf numFmtId="49" fontId="32" fillId="0" borderId="49" xfId="0" applyNumberFormat="1" applyFont="1" applyBorder="1" applyAlignment="1">
      <alignment horizontal="center" vertical="center" textRotation="90" wrapText="1"/>
    </xf>
    <xf numFmtId="49" fontId="32" fillId="0" borderId="52" xfId="0" applyNumberFormat="1" applyFont="1" applyBorder="1" applyAlignment="1">
      <alignment horizontal="center" vertical="center" textRotation="90" wrapText="1"/>
    </xf>
    <xf numFmtId="3" fontId="36" fillId="0" borderId="22" xfId="0" applyNumberFormat="1" applyFont="1" applyBorder="1" applyAlignment="1">
      <alignment horizontal="center" wrapText="1"/>
    </xf>
    <xf numFmtId="3" fontId="36" fillId="0" borderId="23" xfId="0" applyNumberFormat="1" applyFont="1" applyBorder="1" applyAlignment="1">
      <alignment horizontal="center" wrapText="1"/>
    </xf>
    <xf numFmtId="3" fontId="27" fillId="0" borderId="0" xfId="0" applyNumberFormat="1" applyFont="1" applyBorder="1" applyAlignment="1">
      <alignment horizontal="center" vertical="center" wrapText="1"/>
    </xf>
    <xf numFmtId="3" fontId="29" fillId="0" borderId="0" xfId="0" applyNumberFormat="1" applyFont="1" applyAlignment="1">
      <alignment horizontal="center"/>
    </xf>
    <xf numFmtId="3" fontId="29" fillId="0" borderId="0" xfId="0" applyNumberFormat="1" applyFont="1" applyAlignment="1">
      <alignment horizontal="center" wrapText="1"/>
    </xf>
    <xf numFmtId="2" fontId="27" fillId="0" borderId="0" xfId="0" applyNumberFormat="1" applyFont="1" applyBorder="1" applyAlignment="1">
      <alignment horizontal="center" vertical="center" wrapText="1"/>
    </xf>
    <xf numFmtId="2" fontId="23" fillId="0" borderId="32" xfId="0" applyNumberFormat="1" applyFont="1" applyBorder="1" applyAlignment="1">
      <alignment horizontal="center" wrapText="1"/>
    </xf>
    <xf numFmtId="2" fontId="23" fillId="0" borderId="24" xfId="0" applyNumberFormat="1" applyFont="1" applyBorder="1" applyAlignment="1">
      <alignment horizontal="center" wrapText="1"/>
    </xf>
    <xf numFmtId="3" fontId="34" fillId="0" borderId="19" xfId="0" applyNumberFormat="1" applyFont="1" applyBorder="1" applyAlignment="1">
      <alignment horizontal="center"/>
    </xf>
    <xf numFmtId="3" fontId="34" fillId="0" borderId="36" xfId="0" applyNumberFormat="1" applyFont="1" applyBorder="1" applyAlignment="1">
      <alignment horizontal="center"/>
    </xf>
    <xf numFmtId="3" fontId="34" fillId="0" borderId="20" xfId="0" applyNumberFormat="1" applyFont="1" applyBorder="1" applyAlignment="1">
      <alignment horizontal="center"/>
    </xf>
    <xf numFmtId="0" fontId="32" fillId="0" borderId="53" xfId="0" applyFont="1" applyBorder="1" applyAlignment="1">
      <alignment horizontal="center"/>
    </xf>
    <xf numFmtId="0" fontId="32" fillId="0" borderId="43" xfId="0" applyFont="1" applyBorder="1" applyAlignment="1">
      <alignment horizontal="center"/>
    </xf>
    <xf numFmtId="0" fontId="32" fillId="0" borderId="54" xfId="0" applyFont="1" applyBorder="1" applyAlignment="1">
      <alignment horizontal="center"/>
    </xf>
    <xf numFmtId="0" fontId="34" fillId="0" borderId="19" xfId="0" applyFont="1" applyBorder="1" applyAlignment="1">
      <alignment horizontal="center"/>
    </xf>
    <xf numFmtId="0" fontId="34" fillId="0" borderId="36" xfId="0" applyFont="1" applyBorder="1" applyAlignment="1">
      <alignment horizontal="center"/>
    </xf>
    <xf numFmtId="0" fontId="34" fillId="0" borderId="20" xfId="0" applyFont="1" applyBorder="1" applyAlignment="1">
      <alignment horizontal="center"/>
    </xf>
    <xf numFmtId="0" fontId="0" fillId="0" borderId="55" xfId="0" applyBorder="1" applyAlignment="1">
      <alignment horizontal="center"/>
    </xf>
    <xf numFmtId="3" fontId="23" fillId="0" borderId="38" xfId="0" applyNumberFormat="1" applyFont="1" applyBorder="1" applyAlignment="1">
      <alignment horizontal="center"/>
    </xf>
    <xf numFmtId="3" fontId="23" fillId="0" borderId="41" xfId="0" applyNumberFormat="1" applyFont="1" applyBorder="1" applyAlignment="1">
      <alignment horizontal="center"/>
    </xf>
    <xf numFmtId="0" fontId="32" fillId="0" borderId="56" xfId="0" applyFont="1" applyBorder="1" applyAlignment="1">
      <alignment horizontal="center"/>
    </xf>
    <xf numFmtId="0" fontId="32" fillId="0" borderId="57" xfId="0" applyFont="1" applyBorder="1" applyAlignment="1">
      <alignment horizontal="center"/>
    </xf>
    <xf numFmtId="0" fontId="38" fillId="0" borderId="38" xfId="0" applyFont="1" applyBorder="1" applyAlignment="1">
      <alignment horizontal="center" wrapText="1"/>
    </xf>
    <xf numFmtId="2" fontId="0" fillId="0" borderId="50" xfId="0" applyNumberFormat="1" applyFont="1" applyBorder="1" applyAlignment="1">
      <alignment horizontal="center" wrapText="1"/>
    </xf>
    <xf numFmtId="2" fontId="0" fillId="0" borderId="1" xfId="0" applyNumberFormat="1" applyFont="1" applyBorder="1" applyAlignment="1">
      <alignment horizontal="center" wrapText="1"/>
    </xf>
    <xf numFmtId="0" fontId="32" fillId="0" borderId="53" xfId="0" applyFont="1" applyBorder="1" applyAlignment="1">
      <alignment horizontal="center" vertical="center"/>
    </xf>
    <xf numFmtId="0" fontId="32" fillId="0" borderId="58" xfId="0" applyFont="1" applyBorder="1" applyAlignment="1">
      <alignment horizontal="center" vertical="center"/>
    </xf>
    <xf numFmtId="0" fontId="32" fillId="0" borderId="59" xfId="0" applyFont="1" applyBorder="1" applyAlignment="1">
      <alignment horizontal="center" vertical="center"/>
    </xf>
    <xf numFmtId="0" fontId="32" fillId="0" borderId="54" xfId="0" applyFont="1" applyBorder="1" applyAlignment="1">
      <alignment horizontal="center" vertical="center"/>
    </xf>
    <xf numFmtId="0" fontId="32" fillId="0" borderId="37" xfId="0" applyFont="1" applyBorder="1" applyAlignment="1">
      <alignment horizontal="center" vertical="center"/>
    </xf>
    <xf numFmtId="0" fontId="32" fillId="0" borderId="20" xfId="0" applyFont="1" applyBorder="1" applyAlignment="1">
      <alignment horizontal="center" vertical="center"/>
    </xf>
    <xf numFmtId="0" fontId="32" fillId="0" borderId="38" xfId="0" applyFont="1" applyBorder="1" applyAlignment="1">
      <alignment horizontal="center" vertical="center"/>
    </xf>
    <xf numFmtId="0" fontId="32" fillId="0" borderId="35"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38" xfId="0" applyBorder="1" applyAlignment="1">
      <alignment horizontal="center"/>
    </xf>
    <xf numFmtId="0" fontId="34" fillId="0" borderId="62" xfId="0" applyFont="1" applyBorder="1" applyAlignment="1">
      <alignment horizontal="center"/>
    </xf>
    <xf numFmtId="165" fontId="23" fillId="0" borderId="38" xfId="0" applyNumberFormat="1" applyFont="1" applyBorder="1" applyAlignment="1">
      <alignment horizontal="center" vertical="center"/>
    </xf>
    <xf numFmtId="165" fontId="23" fillId="0" borderId="41" xfId="0" applyNumberFormat="1" applyFont="1" applyBorder="1" applyAlignment="1">
      <alignment horizontal="center" vertical="center"/>
    </xf>
    <xf numFmtId="0" fontId="23" fillId="0" borderId="41" xfId="0" applyFont="1" applyBorder="1" applyAlignment="1">
      <alignment horizontal="center"/>
    </xf>
    <xf numFmtId="0" fontId="23" fillId="0" borderId="42" xfId="0" applyFont="1" applyBorder="1" applyAlignment="1">
      <alignment horizontal="center"/>
    </xf>
    <xf numFmtId="0" fontId="23" fillId="0" borderId="38" xfId="0" applyFont="1" applyBorder="1" applyAlignment="1">
      <alignment horizontal="center" vertical="center"/>
    </xf>
    <xf numFmtId="0" fontId="23" fillId="0" borderId="41" xfId="0" applyFont="1" applyBorder="1" applyAlignment="1">
      <alignment horizontal="center" vertical="center"/>
    </xf>
    <xf numFmtId="2" fontId="23" fillId="0" borderId="38" xfId="0" applyNumberFormat="1" applyFont="1" applyBorder="1" applyAlignment="1">
      <alignment horizontal="center" vertical="center"/>
    </xf>
    <xf numFmtId="2" fontId="23" fillId="0" borderId="41" xfId="0" applyNumberFormat="1" applyFont="1" applyBorder="1" applyAlignment="1">
      <alignment horizontal="center" vertical="center"/>
    </xf>
    <xf numFmtId="3" fontId="23" fillId="0" borderId="38" xfId="0" applyNumberFormat="1" applyFont="1" applyBorder="1" applyAlignment="1">
      <alignment horizontal="center" vertical="center"/>
    </xf>
    <xf numFmtId="3" fontId="23" fillId="0" borderId="41" xfId="0" applyNumberFormat="1" applyFont="1" applyBorder="1" applyAlignment="1">
      <alignment horizontal="center" vertical="center"/>
    </xf>
    <xf numFmtId="0" fontId="36" fillId="0" borderId="29" xfId="0" applyNumberFormat="1" applyFont="1" applyBorder="1" applyAlignment="1">
      <alignment horizontal="center" wrapText="1"/>
    </xf>
    <xf numFmtId="0" fontId="36" fillId="0" borderId="0" xfId="0" applyNumberFormat="1" applyFont="1" applyBorder="1" applyAlignment="1">
      <alignment horizontal="center" wrapText="1"/>
    </xf>
    <xf numFmtId="0" fontId="36" fillId="0" borderId="1" xfId="0" applyNumberFormat="1" applyFont="1" applyBorder="1" applyAlignment="1">
      <alignment horizontal="center" wrapText="1"/>
    </xf>
    <xf numFmtId="0" fontId="36" fillId="0" borderId="27" xfId="0" applyNumberFormat="1" applyFont="1" applyBorder="1" applyAlignment="1">
      <alignment horizontal="center" wrapText="1"/>
    </xf>
    <xf numFmtId="0" fontId="36" fillId="0" borderId="18" xfId="0" applyNumberFormat="1" applyFont="1" applyBorder="1" applyAlignment="1">
      <alignment horizontal="center" wrapText="1"/>
    </xf>
    <xf numFmtId="0" fontId="36" fillId="0" borderId="3" xfId="0" applyNumberFormat="1" applyFont="1" applyBorder="1" applyAlignment="1">
      <alignment horizontal="center" wrapText="1"/>
    </xf>
    <xf numFmtId="3" fontId="23" fillId="0" borderId="32" xfId="0" applyNumberFormat="1" applyFont="1" applyBorder="1" applyAlignment="1">
      <alignment horizontal="center"/>
    </xf>
    <xf numFmtId="0" fontId="32" fillId="0" borderId="63" xfId="0" applyFont="1" applyBorder="1" applyAlignment="1">
      <alignment horizontal="center"/>
    </xf>
    <xf numFmtId="3" fontId="23" fillId="0" borderId="19" xfId="0" applyNumberFormat="1" applyFont="1" applyBorder="1" applyAlignment="1">
      <alignment horizontal="center"/>
    </xf>
    <xf numFmtId="2" fontId="0" fillId="0" borderId="38" xfId="0" applyNumberFormat="1" applyFont="1" applyBorder="1" applyAlignment="1">
      <alignment horizontal="center" wrapText="1"/>
    </xf>
    <xf numFmtId="2" fontId="0" fillId="0" borderId="32" xfId="0" applyNumberFormat="1" applyFont="1" applyBorder="1" applyAlignment="1">
      <alignment horizontal="center" wrapText="1"/>
    </xf>
    <xf numFmtId="0" fontId="39" fillId="0" borderId="32" xfId="0" applyFont="1" applyBorder="1" applyAlignment="1">
      <alignment horizontal="center" wrapText="1"/>
    </xf>
    <xf numFmtId="0" fontId="39" fillId="0" borderId="23" xfId="0" applyFont="1" applyBorder="1" applyAlignment="1">
      <alignment horizontal="center" wrapText="1"/>
    </xf>
    <xf numFmtId="49" fontId="32" fillId="0" borderId="64" xfId="0" applyNumberFormat="1" applyFont="1" applyBorder="1" applyAlignment="1">
      <alignment horizontal="center" vertical="center" textRotation="90" wrapText="1"/>
    </xf>
    <xf numFmtId="49" fontId="32" fillId="0" borderId="29" xfId="0" applyNumberFormat="1" applyFont="1" applyBorder="1" applyAlignment="1">
      <alignment horizontal="center" vertical="center" textRotation="90" wrapText="1"/>
    </xf>
    <xf numFmtId="49" fontId="32" fillId="0" borderId="28" xfId="0" applyNumberFormat="1" applyFont="1" applyBorder="1" applyAlignment="1">
      <alignment horizontal="center" vertical="center" textRotation="90" wrapText="1"/>
    </xf>
    <xf numFmtId="0" fontId="58" fillId="0" borderId="39" xfId="0" applyFont="1" applyBorder="1" applyAlignment="1">
      <alignment horizontal="center" wrapText="1"/>
    </xf>
    <xf numFmtId="0" fontId="58" fillId="0" borderId="17" xfId="0" applyFont="1" applyBorder="1" applyAlignment="1">
      <alignment horizontal="center" wrapText="1"/>
    </xf>
    <xf numFmtId="49" fontId="57" fillId="0" borderId="38" xfId="0" applyNumberFormat="1" applyFont="1" applyBorder="1" applyAlignment="1">
      <alignment horizontal="center" vertical="center" wrapText="1"/>
    </xf>
    <xf numFmtId="49" fontId="57" fillId="0" borderId="41" xfId="0" applyNumberFormat="1" applyFont="1" applyBorder="1" applyAlignment="1">
      <alignment horizontal="center" vertical="center" wrapText="1"/>
    </xf>
    <xf numFmtId="0" fontId="0" fillId="0" borderId="41" xfId="0" applyBorder="1" applyAlignment="1">
      <alignment horizontal="center" wrapText="1"/>
    </xf>
    <xf numFmtId="0" fontId="0" fillId="0" borderId="38" xfId="0" applyBorder="1" applyAlignment="1">
      <alignment horizontal="center" wrapText="1"/>
    </xf>
    <xf numFmtId="0" fontId="65" fillId="0" borderId="34" xfId="0" applyFont="1" applyBorder="1" applyAlignment="1">
      <alignment/>
    </xf>
    <xf numFmtId="0" fontId="0" fillId="0" borderId="17" xfId="0" applyBorder="1"/>
    <xf numFmtId="2" fontId="0" fillId="2" borderId="0" xfId="0" applyNumberFormat="1" applyFont="1" applyFill="1" quotePrefix="1"/>
    <xf numFmtId="2" fontId="66" fillId="2" borderId="0" xfId="0" applyNumberFormat="1" applyFont="1" applyFill="1" applyBorder="1"/>
    <xf numFmtId="2" fontId="51" fillId="12" borderId="34" xfId="0" applyNumberFormat="1" applyFont="1" applyFill="1" applyBorder="1" applyAlignment="1">
      <alignment wrapText="1"/>
    </xf>
    <xf numFmtId="2" fontId="51" fillId="12" borderId="0" xfId="0" applyNumberFormat="1" applyFont="1" applyFill="1" applyAlignment="1">
      <alignment wrapText="1"/>
    </xf>
    <xf numFmtId="2" fontId="51" fillId="12" borderId="39" xfId="0" applyNumberFormat="1" applyFont="1" applyFill="1" applyBorder="1" applyAlignment="1">
      <alignment wrapText="1"/>
    </xf>
    <xf numFmtId="2" fontId="50" fillId="12" borderId="0" xfId="0" applyNumberFormat="1" applyFont="1" applyFill="1" applyBorder="1"/>
    <xf numFmtId="2" fontId="29" fillId="12" borderId="34" xfId="0" applyNumberFormat="1" applyFont="1" applyFill="1" applyBorder="1"/>
    <xf numFmtId="2" fontId="29" fillId="12" borderId="22" xfId="0" applyNumberFormat="1" applyFont="1" applyFill="1" applyBorder="1"/>
    <xf numFmtId="2" fontId="29" fillId="12" borderId="4" xfId="0" applyNumberFormat="1" applyFont="1" applyFill="1" applyBorder="1"/>
    <xf numFmtId="2" fontId="27" fillId="12" borderId="0" xfId="0" applyNumberFormat="1" applyFont="1" applyFill="1"/>
    <xf numFmtId="2" fontId="0" fillId="12" borderId="18" xfId="0" applyNumberFormat="1" applyFont="1" applyFill="1" applyBorder="1"/>
    <xf numFmtId="0" fontId="0" fillId="14" borderId="0" xfId="0" applyFont="1" applyFill="1" applyAlignment="1">
      <alignment horizontal="right"/>
    </xf>
    <xf numFmtId="2" fontId="0" fillId="14" borderId="0" xfId="0" applyNumberFormat="1" applyFont="1" applyFill="1" applyBorder="1" applyAlignment="1">
      <alignment horizontal="right"/>
    </xf>
    <xf numFmtId="0" fontId="65" fillId="0" borderId="8" xfId="0" applyFont="1" applyBorder="1" applyAlignment="1">
      <alignment/>
    </xf>
    <xf numFmtId="0" fontId="0" fillId="0" borderId="8" xfId="0" applyBorder="1" applyAlignment="1">
      <alignment horizontal="left" wrapText="1"/>
    </xf>
    <xf numFmtId="2" fontId="2" fillId="7" borderId="12" xfId="0" applyNumberFormat="1" applyFont="1" applyFill="1" applyBorder="1"/>
    <xf numFmtId="2" fontId="7" fillId="12" borderId="6" xfId="0" applyNumberFormat="1" applyFont="1" applyFill="1" applyBorder="1"/>
    <xf numFmtId="2" fontId="66" fillId="2" borderId="0" xfId="0" applyNumberFormat="1" applyFont="1" applyFill="1" applyBorder="1" quotePrefix="1"/>
    <xf numFmtId="2" fontId="0" fillId="7" borderId="15" xfId="0" applyNumberFormat="1" applyFill="1" applyBorder="1"/>
    <xf numFmtId="2" fontId="0" fillId="7" borderId="7" xfId="0" applyNumberFormat="1" applyFill="1" applyBorder="1"/>
    <xf numFmtId="2" fontId="2" fillId="7" borderId="16" xfId="0" applyNumberFormat="1" applyFont="1" applyFill="1" applyBorder="1"/>
    <xf numFmtId="2" fontId="0" fillId="7" borderId="4" xfId="0" applyNumberFormat="1" applyFill="1" applyBorder="1"/>
    <xf numFmtId="2" fontId="2" fillId="7" borderId="39" xfId="0" applyNumberFormat="1" applyFont="1" applyFill="1" applyBorder="1"/>
    <xf numFmtId="2" fontId="0" fillId="12" borderId="4" xfId="0" applyNumberFormat="1" applyFont="1" applyFill="1" applyBorder="1"/>
    <xf numFmtId="2" fontId="0" fillId="7" borderId="2" xfId="0" applyNumberFormat="1" applyFill="1" applyBorder="1"/>
    <xf numFmtId="2" fontId="0" fillId="7" borderId="8" xfId="0" applyNumberFormat="1" applyFill="1" applyBorder="1"/>
    <xf numFmtId="2" fontId="2" fillId="7" borderId="17" xfId="0" applyNumberFormat="1" applyFont="1" applyFill="1" applyBorder="1"/>
    <xf numFmtId="2" fontId="51" fillId="12" borderId="34" xfId="0" applyNumberFormat="1" applyFont="1" applyFill="1" applyBorder="1" applyAlignment="1">
      <alignment horizontal="center" wrapText="1"/>
    </xf>
    <xf numFmtId="2" fontId="51" fillId="12" borderId="0" xfId="0" applyNumberFormat="1" applyFont="1" applyFill="1" applyAlignment="1">
      <alignment horizontal="center" wrapText="1"/>
    </xf>
    <xf numFmtId="2" fontId="51" fillId="12" borderId="39" xfId="0" applyNumberFormat="1" applyFont="1" applyFill="1" applyBorder="1" applyAlignment="1">
      <alignment horizontal="center" wrapText="1"/>
    </xf>
    <xf numFmtId="0" fontId="19" fillId="14" borderId="0" xfId="0" applyFont="1" applyFill="1" applyBorder="1"/>
    <xf numFmtId="0" fontId="0" fillId="0" borderId="18" xfId="0" applyBorder="1"/>
    <xf numFmtId="2" fontId="0" fillId="7" borderId="0" xfId="0" applyNumberFormat="1" applyFont="1" applyFill="1" quotePrefix="1"/>
    <xf numFmtId="0" fontId="61" fillId="14" borderId="0" xfId="0" applyFont="1" applyFill="1" applyAlignment="1">
      <alignment horizontal="right"/>
    </xf>
    <xf numFmtId="2" fontId="61" fillId="14" borderId="0" xfId="0" applyNumberFormat="1" applyFont="1" applyFill="1" applyBorder="1" applyAlignment="1">
      <alignment horizontal="righ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10.xml.rels><?xml version="1.0" encoding="utf-8" standalone="yes"?><Relationships xmlns="http://schemas.openxmlformats.org/package/2006/relationships"><Relationship Id="rId1" Type="http://schemas.microsoft.com/office/2006/relationships/activeXControlBinary" Target="activeX10.bin" /></Relationships>
</file>

<file path=xl/activeX/_rels/activeX11.xml.rels><?xml version="1.0" encoding="utf-8" standalone="yes"?><Relationships xmlns="http://schemas.openxmlformats.org/package/2006/relationships"><Relationship Id="rId1" Type="http://schemas.microsoft.com/office/2006/relationships/activeXControlBinary" Target="activeX11.bin" /></Relationships>
</file>

<file path=xl/activeX/_rels/activeX12.xml.rels><?xml version="1.0" encoding="utf-8" standalone="yes"?><Relationships xmlns="http://schemas.openxmlformats.org/package/2006/relationships"><Relationship Id="rId1" Type="http://schemas.microsoft.com/office/2006/relationships/activeXControlBinary" Target="activeX12.bin" /></Relationships>
</file>

<file path=xl/activeX/_rels/activeX13.xml.rels><?xml version="1.0" encoding="utf-8" standalone="yes"?><Relationships xmlns="http://schemas.openxmlformats.org/package/2006/relationships"><Relationship Id="rId1" Type="http://schemas.microsoft.com/office/2006/relationships/activeXControlBinary" Target="activeX13.bin" /></Relationships>
</file>

<file path=xl/activeX/_rels/activeX14.xml.rels><?xml version="1.0" encoding="utf-8" standalone="yes"?><Relationships xmlns="http://schemas.openxmlformats.org/package/2006/relationships"><Relationship Id="rId1" Type="http://schemas.microsoft.com/office/2006/relationships/activeXControlBinary" Target="activeX14.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_rels/activeX9.xml.rels><?xml version="1.0" encoding="utf-8" standalone="yes"?><Relationships xmlns="http://schemas.openxmlformats.org/package/2006/relationships"><Relationship Id="rId1" Type="http://schemas.microsoft.com/office/2006/relationships/activeXControlBinary" Target="activeX9.bin" /></Relationships>
</file>

<file path=xl/activeX/activeX1.xml><?xml version="1.0" encoding="utf-8"?>
<ax:ocx xmlns:ax="http://schemas.microsoft.com/office/2006/activeX" xmlns:r="http://schemas.openxmlformats.org/officeDocument/2006/relationships" ax:classid="{5512D110-5CC6-11CF-8D67-00AA00BDCE1D}" ax:persistence="persistStream" r:id="rId1"/>
</file>

<file path=xl/activeX/activeX10.xml><?xml version="1.0" encoding="utf-8"?>
<ax:ocx xmlns:ax="http://schemas.microsoft.com/office/2006/activeX" xmlns:r="http://schemas.openxmlformats.org/officeDocument/2006/relationships" ax:classid="{5512D11A-5CC6-11CF-8D67-00AA00BDCE1D}" ax:persistence="persistStream" r:id="rId1"/>
</file>

<file path=xl/activeX/activeX11.xml><?xml version="1.0" encoding="utf-8"?>
<ax:ocx xmlns:ax="http://schemas.microsoft.com/office/2006/activeX" xmlns:r="http://schemas.openxmlformats.org/officeDocument/2006/relationships" ax:classid="{5512D11A-5CC6-11CF-8D67-00AA00BDCE1D}" ax:persistence="persistStream" r:id="rId1"/>
</file>

<file path=xl/activeX/activeX12.xml><?xml version="1.0" encoding="utf-8"?>
<ax:ocx xmlns:ax="http://schemas.microsoft.com/office/2006/activeX" xmlns:r="http://schemas.openxmlformats.org/officeDocument/2006/relationships" ax:classid="{5512D11A-5CC6-11CF-8D67-00AA00BDCE1D}" ax:persistence="persistStream" r:id="rId1"/>
</file>

<file path=xl/activeX/activeX13.xml><?xml version="1.0" encoding="utf-8"?>
<ax:ocx xmlns:ax="http://schemas.microsoft.com/office/2006/activeX" xmlns:r="http://schemas.openxmlformats.org/officeDocument/2006/relationships" ax:classid="{5512D11A-5CC6-11CF-8D67-00AA00BDCE1D}" ax:persistence="persistStream" r:id="rId1"/>
</file>

<file path=xl/activeX/activeX14.xml><?xml version="1.0" encoding="utf-8"?>
<ax:ocx xmlns:ax="http://schemas.microsoft.com/office/2006/activeX" xmlns:r="http://schemas.openxmlformats.org/officeDocument/2006/relationships" ax:classid="{5512D11A-5CC6-11CF-8D67-00AA00BDCE1D}" ax:persistence="persistStream" r:id="rId1"/>
</file>

<file path=xl/activeX/activeX2.xml><?xml version="1.0" encoding="utf-8"?>
<ax:ocx xmlns:ax="http://schemas.microsoft.com/office/2006/activeX" xmlns:r="http://schemas.openxmlformats.org/officeDocument/2006/relationships" ax:classid="{5512D11A-5CC6-11CF-8D67-00AA00BDCE1D}" ax:persistence="persistStream" r:id="rId1"/>
</file>

<file path=xl/activeX/activeX3.xml><?xml version="1.0" encoding="utf-8"?>
<ax:ocx xmlns:ax="http://schemas.microsoft.com/office/2006/activeX" xmlns:r="http://schemas.openxmlformats.org/officeDocument/2006/relationships" ax:classid="{5512D11A-5CC6-11CF-8D67-00AA00BDCE1D}" ax:persistence="persistStream" r:id="rId1"/>
</file>

<file path=xl/activeX/activeX4.xml><?xml version="1.0" encoding="utf-8"?>
<ax:ocx xmlns:ax="http://schemas.microsoft.com/office/2006/activeX" xmlns:r="http://schemas.openxmlformats.org/officeDocument/2006/relationships" ax:classid="{5512D11A-5CC6-11CF-8D67-00AA00BDCE1D}" ax:persistence="persistStream" r:id="rId1"/>
</file>

<file path=xl/activeX/activeX5.xml><?xml version="1.0" encoding="utf-8"?>
<ax:ocx xmlns:ax="http://schemas.microsoft.com/office/2006/activeX" xmlns:r="http://schemas.openxmlformats.org/officeDocument/2006/relationships" ax:classid="{5512D11A-5CC6-11CF-8D67-00AA00BDCE1D}" ax:persistence="persistStream" r:id="rId1"/>
</file>

<file path=xl/activeX/activeX6.xml><?xml version="1.0" encoding="utf-8"?>
<ax:ocx xmlns:ax="http://schemas.microsoft.com/office/2006/activeX" xmlns:r="http://schemas.openxmlformats.org/officeDocument/2006/relationships" ax:classid="{5512D11A-5CC6-11CF-8D67-00AA00BDCE1D}" ax:persistence="persistStream" r:id="rId1"/>
</file>

<file path=xl/activeX/activeX7.xml><?xml version="1.0" encoding="utf-8"?>
<ax:ocx xmlns:ax="http://schemas.microsoft.com/office/2006/activeX" xmlns:r="http://schemas.openxmlformats.org/officeDocument/2006/relationships" ax:classid="{5512D124-5CC6-11CF-8D67-00AA00BDCE1D}" ax:persistence="persistStream" r:id="rId1"/>
</file>

<file path=xl/activeX/activeX8.xml><?xml version="1.0" encoding="utf-8"?>
<ax:ocx xmlns:ax="http://schemas.microsoft.com/office/2006/activeX" xmlns:r="http://schemas.openxmlformats.org/officeDocument/2006/relationships" ax:classid="{5512D11A-5CC6-11CF-8D67-00AA00BDCE1D}" ax:persistence="persistStream" r:id="rId1"/>
</file>

<file path=xl/activeX/activeX9.xml><?xml version="1.0" encoding="utf-8"?>
<ax:ocx xmlns:ax="http://schemas.microsoft.com/office/2006/activeX" xmlns:r="http://schemas.openxmlformats.org/officeDocument/2006/relationships" ax:classid="{5512D11A-5CC6-11CF-8D67-00AA00BDCE1D}" ax:persistence="persistStream" r:id="rId1"/>
</file>

<file path=xl/drawings/_rels/drawing1.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 Id="rId3"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4.emf" /><Relationship Id="rId4" Type="http://schemas.openxmlformats.org/officeDocument/2006/relationships/image" Target="../media/image2.emf" /><Relationship Id="rId5" Type="http://schemas.openxmlformats.org/officeDocument/2006/relationships/image" Target="../media/image3.emf" /><Relationship Id="rId6"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36</xdr:col>
      <xdr:colOff>47625</xdr:colOff>
      <xdr:row>67</xdr:row>
      <xdr:rowOff>85725</xdr:rowOff>
    </xdr:from>
    <xdr:ext cx="5905500" cy="6257925"/>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2802850" y="11582400"/>
          <a:ext cx="5905500" cy="62579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50</xdr:col>
      <xdr:colOff>9525</xdr:colOff>
      <xdr:row>63</xdr:row>
      <xdr:rowOff>9525</xdr:rowOff>
    </xdr:from>
    <xdr:ext cx="7972425" cy="742950"/>
    <xdr:pic>
      <xdr:nvPicPr>
        <xdr:cNvPr id="3" name="Picture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31461075" y="10696575"/>
          <a:ext cx="7972425" cy="742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50</xdr:col>
      <xdr:colOff>57150</xdr:colOff>
      <xdr:row>66</xdr:row>
      <xdr:rowOff>123825</xdr:rowOff>
    </xdr:from>
    <xdr:ext cx="7877175" cy="676275"/>
    <xdr:pic>
      <xdr:nvPicPr>
        <xdr:cNvPr id="4" name="Picture 3"/>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31508700" y="11420475"/>
          <a:ext cx="7877175" cy="676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xdr:colOff>
      <xdr:row>4</xdr:row>
      <xdr:rowOff>47625</xdr:rowOff>
    </xdr:from>
    <xdr:ext cx="9867900" cy="5943600"/>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143750" y="695325"/>
          <a:ext cx="9867900" cy="5943600"/>
        </a:xfrm>
        <a:prstGeom prst="rect">
          <a:avLst/>
        </a:prstGeom>
        <a:pattFill prst="pct5">
          <a:fgClr>
            <a:schemeClr val="accent1"/>
          </a:fgClr>
          <a:bgClr>
            <a:schemeClr val="bg1"/>
          </a:bgClr>
        </a:pattFill>
        <a:ln>
          <a:noFill/>
        </a:ln>
      </xdr:spPr>
    </xdr:pic>
    <xdr:clientData/>
  </xdr:oneCellAnchor>
  <xdr:twoCellAnchor>
    <xdr:from>
      <xdr:col>10</xdr:col>
      <xdr:colOff>581025</xdr:colOff>
      <xdr:row>6</xdr:row>
      <xdr:rowOff>161925</xdr:rowOff>
    </xdr:from>
    <xdr:to>
      <xdr:col>25</xdr:col>
      <xdr:colOff>609600</xdr:colOff>
      <xdr:row>6</xdr:row>
      <xdr:rowOff>161925</xdr:rowOff>
    </xdr:to>
    <xdr:cxnSp macro="">
      <xdr:nvCxnSpPr>
        <xdr:cNvPr id="3" name="Straight Connector 2"/>
        <xdr:cNvCxnSpPr/>
      </xdr:nvCxnSpPr>
      <xdr:spPr>
        <a:xfrm>
          <a:off x="7058025" y="1133475"/>
          <a:ext cx="9172575" cy="0"/>
        </a:xfrm>
        <a:prstGeom prst="line">
          <a:avLst/>
        </a:prstGeom>
        <a:ln>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27</xdr:row>
      <xdr:rowOff>0</xdr:rowOff>
    </xdr:from>
    <xdr:to>
      <xdr:col>25</xdr:col>
      <xdr:colOff>609600</xdr:colOff>
      <xdr:row>27</xdr:row>
      <xdr:rowOff>0</xdr:rowOff>
    </xdr:to>
    <xdr:cxnSp macro="">
      <xdr:nvCxnSpPr>
        <xdr:cNvPr id="4" name="Straight Connector 3"/>
        <xdr:cNvCxnSpPr/>
      </xdr:nvCxnSpPr>
      <xdr:spPr>
        <a:xfrm>
          <a:off x="7086600" y="4371975"/>
          <a:ext cx="9144000" cy="0"/>
        </a:xfrm>
        <a:prstGeom prst="line">
          <a:avLst/>
        </a:prstGeom>
        <a:ln>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38100</xdr:colOff>
      <xdr:row>16</xdr:row>
      <xdr:rowOff>161925</xdr:rowOff>
    </xdr:from>
    <xdr:to>
      <xdr:col>26</xdr:col>
      <xdr:colOff>9525</xdr:colOff>
      <xdr:row>16</xdr:row>
      <xdr:rowOff>161925</xdr:rowOff>
    </xdr:to>
    <xdr:cxnSp macro="">
      <xdr:nvCxnSpPr>
        <xdr:cNvPr id="5" name="Straight Connector 4"/>
        <xdr:cNvCxnSpPr/>
      </xdr:nvCxnSpPr>
      <xdr:spPr>
        <a:xfrm>
          <a:off x="7124700" y="2752725"/>
          <a:ext cx="9115425" cy="0"/>
        </a:xfrm>
        <a:prstGeom prst="line">
          <a:avLst/>
        </a:prstGeom>
        <a:ln>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581025</xdr:colOff>
      <xdr:row>11</xdr:row>
      <xdr:rowOff>123825</xdr:rowOff>
    </xdr:from>
    <xdr:to>
      <xdr:col>25</xdr:col>
      <xdr:colOff>609600</xdr:colOff>
      <xdr:row>11</xdr:row>
      <xdr:rowOff>123825</xdr:rowOff>
    </xdr:to>
    <xdr:cxnSp macro="">
      <xdr:nvCxnSpPr>
        <xdr:cNvPr id="6" name="Straight Connector 5"/>
        <xdr:cNvCxnSpPr/>
      </xdr:nvCxnSpPr>
      <xdr:spPr>
        <a:xfrm>
          <a:off x="7058025" y="1905000"/>
          <a:ext cx="9172575" cy="0"/>
        </a:xfrm>
        <a:prstGeom prst="line">
          <a:avLst/>
        </a:prstGeom>
        <a:ln>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nergyBalance.The%20NETHERLANDS.20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oe"/>
      <sheetName val="PMemission"/>
      <sheetName val="Intake"/>
      <sheetName val="TransportStatEUOECD"/>
      <sheetName val="CVDLCDALYs"/>
    </sheetNames>
    <sheetDataSet>
      <sheetData sheetId="0" refreshError="1"/>
      <sheetData sheetId="1" refreshError="1"/>
      <sheetData sheetId="2" refreshError="1"/>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7" Type="http://schemas.openxmlformats.org/officeDocument/2006/relationships/control" Target="../activeX/activeX11.xml" /><Relationship Id="rId14" Type="http://schemas.openxmlformats.org/officeDocument/2006/relationships/control" Target="../activeX/activeX8.xml" /><Relationship Id="rId10" Type="http://schemas.openxmlformats.org/officeDocument/2006/relationships/control" Target="../activeX/activeX5.xml" /><Relationship Id="rId11" Type="http://schemas.openxmlformats.org/officeDocument/2006/relationships/control" Target="../activeX/activeX6.xml" /><Relationship Id="rId15" Type="http://schemas.openxmlformats.org/officeDocument/2006/relationships/control" Target="../activeX/activeX9.xml" /><Relationship Id="rId8" Type="http://schemas.openxmlformats.org/officeDocument/2006/relationships/control" Target="../activeX/activeX3.xml" /><Relationship Id="rId20" Type="http://schemas.openxmlformats.org/officeDocument/2006/relationships/control" Target="../activeX/activeX14.xml" /><Relationship Id="rId12" Type="http://schemas.openxmlformats.org/officeDocument/2006/relationships/control" Target="../activeX/activeX7.xml" /><Relationship Id="rId19" Type="http://schemas.openxmlformats.org/officeDocument/2006/relationships/control" Target="../activeX/activeX13.xml" /><Relationship Id="rId9" Type="http://schemas.openxmlformats.org/officeDocument/2006/relationships/control" Target="../activeX/activeX4.xml" /><Relationship Id="rId16" Type="http://schemas.openxmlformats.org/officeDocument/2006/relationships/control" Target="../activeX/activeX10.xml" /><Relationship Id="rId18" Type="http://schemas.openxmlformats.org/officeDocument/2006/relationships/control" Target="../activeX/activeX12.xml" /><Relationship Id="rId6" Type="http://schemas.openxmlformats.org/officeDocument/2006/relationships/control" Target="../activeX/activeX2.xml" /><Relationship Id="rId4" Type="http://schemas.openxmlformats.org/officeDocument/2006/relationships/control" Target="../activeX/activeX1.xml" /><Relationship Id="rId5" Type="http://schemas.openxmlformats.org/officeDocument/2006/relationships/image" Target="../media/image4.emf" /><Relationship Id="rId7" Type="http://schemas.openxmlformats.org/officeDocument/2006/relationships/image" Target="../media/image5.emf" /><Relationship Id="rId13" Type="http://schemas.openxmlformats.org/officeDocument/2006/relationships/image" Target="../media/image6.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21" Type="http://schemas.openxmlformats.org/officeDocument/2006/relationships/control" Target="../activeX/activeX4.xml" /><Relationship Id="rId22" Type="http://schemas.openxmlformats.org/officeDocument/2006/relationships/control" Target="../activeX/activeX5.xml" /><Relationship Id="rId23" Type="http://schemas.openxmlformats.org/officeDocument/2006/relationships/control" Target="../activeX/activeX6.xml" /><Relationship Id="rId24" Type="http://schemas.openxmlformats.org/officeDocument/2006/relationships/control" Target="../activeX/activeX7.xml" /><Relationship Id="rId25" Type="http://schemas.openxmlformats.org/officeDocument/2006/relationships/control" Target="../activeX/activeX8.xml" /><Relationship Id="rId26" Type="http://schemas.openxmlformats.org/officeDocument/2006/relationships/control" Target="../activeX/activeX9.xml" /><Relationship Id="rId27" Type="http://schemas.openxmlformats.org/officeDocument/2006/relationships/control" Target="../activeX/activeX10.xml" /><Relationship Id="rId28" Type="http://schemas.openxmlformats.org/officeDocument/2006/relationships/control" Target="../activeX/activeX11.xml" /><Relationship Id="rId29" Type="http://schemas.openxmlformats.org/officeDocument/2006/relationships/control" Target="../activeX/activeX12.xml" /><Relationship Id="rId30" Type="http://schemas.openxmlformats.org/officeDocument/2006/relationships/control" Target="../activeX/activeX13.xml" /><Relationship Id="rId31" Type="http://schemas.openxmlformats.org/officeDocument/2006/relationships/control" Target="../activeX/activeX14.xml" /><Relationship Id="rId32" Type="http://schemas.openxmlformats.org/officeDocument/2006/relationships/vmlDrawing" Target="../drawings/vmlDrawing1.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364"/>
  <sheetViews>
    <sheetView showZeros="0" zoomScale="70" zoomScaleNormal="70" workbookViewId="0" topLeftCell="A3">
      <pane xSplit="1" ySplit="9" topLeftCell="B38" activePane="bottomRight" state="frozen"/>
      <selection pane="topLeft" activeCell="A3" sqref="A3"/>
      <selection pane="topRight" activeCell="B3" sqref="B3"/>
      <selection pane="bottomLeft" activeCell="A12" sqref="A12"/>
      <selection pane="bottomRight" activeCell="B4" sqref="B4:K7"/>
    </sheetView>
  </sheetViews>
  <sheetFormatPr defaultColWidth="9.140625" defaultRowHeight="12.75"/>
  <cols>
    <col min="1" max="1" width="33.8515625" style="0" customWidth="1"/>
    <col min="2" max="2" width="10.00390625" style="0" customWidth="1"/>
    <col min="3" max="3" width="9.7109375" style="0" customWidth="1"/>
    <col min="4" max="4" width="10.00390625" style="0" customWidth="1"/>
    <col min="5" max="5" width="10.421875" style="0" customWidth="1"/>
    <col min="6" max="6" width="10.57421875" style="0" customWidth="1"/>
    <col min="7" max="7" width="8.7109375" style="0" customWidth="1"/>
    <col min="8" max="8" width="9.421875" style="0" customWidth="1"/>
    <col min="9" max="9" width="10.00390625" style="0" customWidth="1"/>
    <col min="10" max="11" width="10.57421875" style="0" customWidth="1"/>
    <col min="12" max="12" width="11.57421875" style="1" customWidth="1"/>
    <col min="13" max="13" width="1.8515625" style="26" customWidth="1"/>
    <col min="14" max="14" width="3.8515625" style="25" customWidth="1"/>
    <col min="15" max="15" width="9.28125" style="25" customWidth="1"/>
    <col min="16" max="16" width="7.7109375" style="25" customWidth="1"/>
    <col min="17" max="17" width="9.7109375" style="25" customWidth="1"/>
    <col min="18" max="18" width="7.7109375" style="25" customWidth="1"/>
    <col min="19" max="19" width="8.7109375" style="25" customWidth="1"/>
    <col min="20" max="20" width="7.7109375" style="25" customWidth="1"/>
    <col min="21" max="21" width="9.421875" style="25" customWidth="1"/>
    <col min="22" max="22" width="9.28125" style="25" customWidth="1"/>
    <col min="23" max="23" width="10.7109375" style="25" customWidth="1"/>
    <col min="24" max="24" width="7.00390625" style="25" customWidth="1"/>
    <col min="25" max="25" width="1.57421875" style="26" customWidth="1"/>
    <col min="26" max="26" width="3.00390625" style="0" customWidth="1"/>
    <col min="27" max="27" width="8.7109375" style="94" customWidth="1"/>
    <col min="28" max="28" width="9.140625" style="94" customWidth="1"/>
    <col min="29" max="29" width="10.28125" style="94" customWidth="1"/>
    <col min="30" max="30" width="9.28125" style="94" bestFit="1" customWidth="1"/>
    <col min="31" max="31" width="9.7109375" style="94" customWidth="1"/>
    <col min="32" max="32" width="11.140625" style="94" customWidth="1"/>
    <col min="33" max="33" width="11.28125" style="94" customWidth="1"/>
    <col min="34" max="35" width="10.57421875" style="94" customWidth="1"/>
    <col min="36" max="36" width="7.00390625" style="94" customWidth="1"/>
    <col min="37" max="37" width="8.8515625" style="94" customWidth="1"/>
    <col min="38" max="38" width="1.7109375" style="26" customWidth="1"/>
    <col min="39" max="39" width="2.8515625" style="0" customWidth="1"/>
    <col min="40" max="40" width="10.7109375" style="0" customWidth="1"/>
    <col min="41" max="41" width="8.7109375" style="0" customWidth="1"/>
    <col min="42" max="42" width="9.57421875" style="0" customWidth="1"/>
    <col min="43" max="43" width="8.7109375" style="0" customWidth="1"/>
    <col min="44" max="44" width="9.140625" style="0" customWidth="1"/>
    <col min="45" max="45" width="8.140625" style="0" customWidth="1"/>
    <col min="46" max="46" width="10.140625" style="0" customWidth="1"/>
    <col min="47" max="47" width="12.00390625" style="0" customWidth="1"/>
    <col min="48" max="48" width="10.140625" style="0" customWidth="1"/>
    <col min="49" max="49" width="9.140625" style="0" customWidth="1"/>
    <col min="50" max="50" width="9.57421875" style="0" customWidth="1"/>
    <col min="51" max="51" width="12.140625" style="94" customWidth="1"/>
    <col min="52" max="52" width="5.00390625" style="0" customWidth="1"/>
    <col min="53" max="53" width="8.57421875" style="0" customWidth="1"/>
    <col min="54" max="54" width="6.8515625" style="0" customWidth="1"/>
  </cols>
  <sheetData>
    <row r="1" spans="1:51" ht="64.5" customHeight="1">
      <c r="A1" s="164" t="s">
        <v>342</v>
      </c>
      <c r="B1" s="1412" t="s">
        <v>78</v>
      </c>
      <c r="C1" s="1412"/>
      <c r="D1" s="1412"/>
      <c r="E1" s="1412"/>
      <c r="F1" s="1412"/>
      <c r="G1" s="1412"/>
      <c r="H1" s="1412"/>
      <c r="I1" s="1412"/>
      <c r="J1" s="1412"/>
      <c r="K1" s="1412"/>
      <c r="L1" s="1413"/>
      <c r="N1" s="1414" t="s">
        <v>86</v>
      </c>
      <c r="O1" s="1414"/>
      <c r="P1" s="1414"/>
      <c r="Q1" s="1414"/>
      <c r="R1" s="1414"/>
      <c r="S1" s="1414"/>
      <c r="T1" s="1414"/>
      <c r="U1" s="1414"/>
      <c r="V1" s="1414"/>
      <c r="W1" s="1414"/>
      <c r="X1" s="1414"/>
      <c r="Z1" s="1418" t="s">
        <v>84</v>
      </c>
      <c r="AA1" s="1418"/>
      <c r="AB1" s="1418"/>
      <c r="AC1" s="1418"/>
      <c r="AD1" s="1418"/>
      <c r="AE1" s="1418"/>
      <c r="AF1" s="1418"/>
      <c r="AG1" s="1418"/>
      <c r="AH1" s="1418"/>
      <c r="AI1" s="1418"/>
      <c r="AJ1" s="1418"/>
      <c r="AK1" s="1418"/>
      <c r="AM1" s="1418" t="s">
        <v>109</v>
      </c>
      <c r="AN1" s="1418"/>
      <c r="AO1" s="1418"/>
      <c r="AP1" s="1418"/>
      <c r="AQ1" s="1418"/>
      <c r="AR1" s="1418"/>
      <c r="AS1" s="1418"/>
      <c r="AT1" s="1418"/>
      <c r="AU1" s="1418"/>
      <c r="AV1" s="1418"/>
      <c r="AW1" s="1418"/>
      <c r="AX1" s="1418"/>
      <c r="AY1" s="1418"/>
    </row>
    <row r="2" spans="2:52" ht="12.75" customHeight="1">
      <c r="B2" s="62"/>
      <c r="C2" s="62"/>
      <c r="D2" s="62"/>
      <c r="E2" s="62"/>
      <c r="F2" s="62"/>
      <c r="G2" s="62"/>
      <c r="H2" s="62"/>
      <c r="I2" s="62"/>
      <c r="J2" s="62"/>
      <c r="K2" s="62"/>
      <c r="L2" s="63"/>
      <c r="Z2" s="1419" t="s">
        <v>88</v>
      </c>
      <c r="AA2" s="1420"/>
      <c r="AB2" s="1420"/>
      <c r="AC2" s="1420"/>
      <c r="AD2" s="1420"/>
      <c r="AE2" s="1420"/>
      <c r="AF2" s="1420"/>
      <c r="AG2" s="1420"/>
      <c r="AH2" s="1420"/>
      <c r="AI2" s="1420"/>
      <c r="AJ2" s="1420"/>
      <c r="AK2" s="1420"/>
      <c r="AZ2" s="4" t="s">
        <v>89</v>
      </c>
    </row>
    <row r="3" spans="1:52" ht="12.75" customHeight="1">
      <c r="A3" s="978"/>
      <c r="B3" s="66" t="s">
        <v>293</v>
      </c>
      <c r="N3"/>
      <c r="O3" s="66" t="s">
        <v>294</v>
      </c>
      <c r="P3"/>
      <c r="Q3"/>
      <c r="R3"/>
      <c r="S3"/>
      <c r="T3"/>
      <c r="U3"/>
      <c r="V3"/>
      <c r="W3"/>
      <c r="X3"/>
      <c r="Z3" s="1420"/>
      <c r="AA3" s="1420"/>
      <c r="AB3" s="1420"/>
      <c r="AC3" s="1420"/>
      <c r="AD3" s="1420"/>
      <c r="AE3" s="1420"/>
      <c r="AF3" s="1420"/>
      <c r="AG3" s="1420"/>
      <c r="AH3" s="1420"/>
      <c r="AI3" s="1420"/>
      <c r="AJ3" s="1420"/>
      <c r="AK3" s="1420"/>
      <c r="AZ3" s="4" t="s">
        <v>90</v>
      </c>
    </row>
    <row r="4" spans="1:50" ht="15.75">
      <c r="A4" t="s">
        <v>10</v>
      </c>
      <c r="B4" s="4">
        <v>0.3695</v>
      </c>
      <c r="C4" s="4"/>
      <c r="D4" s="4">
        <v>0.4</v>
      </c>
      <c r="E4" s="4">
        <v>0.46</v>
      </c>
      <c r="F4" s="4">
        <v>0.325</v>
      </c>
      <c r="G4" s="4">
        <v>1</v>
      </c>
      <c r="H4" s="4">
        <v>1</v>
      </c>
      <c r="I4" s="4">
        <v>0.32</v>
      </c>
      <c r="N4" t="s">
        <v>10</v>
      </c>
      <c r="O4" s="616">
        <v>0.45</v>
      </c>
      <c r="P4" s="616"/>
      <c r="Q4" s="616">
        <v>0.5</v>
      </c>
      <c r="R4" s="616">
        <v>0.53</v>
      </c>
      <c r="S4" s="616">
        <v>0.37</v>
      </c>
      <c r="T4" s="616">
        <v>1</v>
      </c>
      <c r="U4" s="616">
        <v>1</v>
      </c>
      <c r="V4" s="616">
        <v>0.4</v>
      </c>
      <c r="W4" s="904"/>
      <c r="X4" s="904"/>
      <c r="Z4" s="1420"/>
      <c r="AA4" s="1420"/>
      <c r="AB4" s="1420"/>
      <c r="AC4" s="1420"/>
      <c r="AD4" s="1420"/>
      <c r="AE4" s="1420"/>
      <c r="AF4" s="1420"/>
      <c r="AG4" s="1420"/>
      <c r="AH4" s="1420"/>
      <c r="AI4" s="1420"/>
      <c r="AJ4" s="1420"/>
      <c r="AK4" s="1420"/>
      <c r="AN4" s="1422" t="s">
        <v>85</v>
      </c>
      <c r="AO4" s="1423"/>
      <c r="AP4" s="1423"/>
      <c r="AQ4" s="1423"/>
      <c r="AR4" s="1423"/>
      <c r="AS4" s="1423"/>
      <c r="AT4" s="1423"/>
      <c r="AU4" s="1424"/>
      <c r="AV4" s="74" t="s">
        <v>93</v>
      </c>
      <c r="AW4" s="75"/>
      <c r="AX4" s="76"/>
    </row>
    <row r="5" spans="1:49" ht="13.5" customHeight="1">
      <c r="A5" t="s">
        <v>66</v>
      </c>
      <c r="B5" s="4">
        <v>0.315</v>
      </c>
      <c r="C5" s="4"/>
      <c r="D5" s="4">
        <v>0.38</v>
      </c>
      <c r="E5" s="4">
        <v>0.42</v>
      </c>
      <c r="F5" s="4">
        <v>0.3</v>
      </c>
      <c r="G5" s="4">
        <v>1</v>
      </c>
      <c r="H5" s="4">
        <v>0.3</v>
      </c>
      <c r="I5" s="4">
        <v>0.28</v>
      </c>
      <c r="N5" t="s">
        <v>66</v>
      </c>
      <c r="O5" s="616">
        <v>0.35</v>
      </c>
      <c r="P5" s="616"/>
      <c r="Q5" s="616">
        <v>0.4</v>
      </c>
      <c r="R5" s="616">
        <v>0.5</v>
      </c>
      <c r="S5" s="616">
        <v>0.32</v>
      </c>
      <c r="T5" s="616">
        <v>1</v>
      </c>
      <c r="U5" s="616">
        <v>0.3</v>
      </c>
      <c r="V5" s="616">
        <v>0.33</v>
      </c>
      <c r="W5" s="904"/>
      <c r="X5" s="904"/>
      <c r="Z5" s="1421" t="s">
        <v>87</v>
      </c>
      <c r="AA5" s="1421"/>
      <c r="AB5" s="1421"/>
      <c r="AC5" s="1421"/>
      <c r="AD5" s="1421"/>
      <c r="AE5" s="1421"/>
      <c r="AF5" s="1421"/>
      <c r="AG5" s="1421"/>
      <c r="AH5" s="1421"/>
      <c r="AI5" s="1421"/>
      <c r="AJ5" s="1421"/>
      <c r="AK5" s="1421"/>
      <c r="AN5" s="1425" t="s">
        <v>83</v>
      </c>
      <c r="AO5" s="1426"/>
      <c r="AP5" s="1426"/>
      <c r="AQ5" s="1426"/>
      <c r="AR5" s="1426"/>
      <c r="AS5" s="1426"/>
      <c r="AT5" s="1426"/>
      <c r="AU5" s="1426"/>
      <c r="AV5" s="1427"/>
      <c r="AW5" s="1428"/>
    </row>
    <row r="6" spans="1:62" ht="12.75">
      <c r="A6" t="s">
        <v>67</v>
      </c>
      <c r="B6" s="4">
        <v>0.229</v>
      </c>
      <c r="C6" s="4"/>
      <c r="D6" s="4">
        <v>0.3</v>
      </c>
      <c r="E6" s="4">
        <v>0.33</v>
      </c>
      <c r="F6" s="4">
        <v>0.4</v>
      </c>
      <c r="G6" s="4">
        <v>1</v>
      </c>
      <c r="H6" s="4">
        <v>0.65</v>
      </c>
      <c r="I6" s="4">
        <v>0.21</v>
      </c>
      <c r="J6" s="4">
        <v>1</v>
      </c>
      <c r="K6" s="4">
        <v>1</v>
      </c>
      <c r="N6" t="s">
        <v>67</v>
      </c>
      <c r="O6" s="616">
        <v>0.55</v>
      </c>
      <c r="P6" s="616"/>
      <c r="Q6" s="616">
        <v>0.5</v>
      </c>
      <c r="R6" s="616">
        <v>0.4</v>
      </c>
      <c r="S6" s="616">
        <v>0.5</v>
      </c>
      <c r="T6" s="616">
        <v>1</v>
      </c>
      <c r="U6" s="616">
        <v>0.65</v>
      </c>
      <c r="V6" s="616">
        <v>0.55</v>
      </c>
      <c r="W6" s="616">
        <v>1</v>
      </c>
      <c r="X6" s="616">
        <v>1</v>
      </c>
      <c r="Z6" s="1421"/>
      <c r="AA6" s="1421"/>
      <c r="AB6" s="1421"/>
      <c r="AC6" s="1421"/>
      <c r="AD6" s="1421"/>
      <c r="AE6" s="1421"/>
      <c r="AF6" s="1421"/>
      <c r="AG6" s="1421"/>
      <c r="AH6" s="1421"/>
      <c r="AI6" s="1421"/>
      <c r="AJ6" s="1421"/>
      <c r="AK6" s="1421"/>
      <c r="AN6" s="17">
        <v>3.8579499999999998</v>
      </c>
      <c r="AO6" s="17">
        <v>3.1269699999999996</v>
      </c>
      <c r="AP6" s="17">
        <v>3.1269699999999996</v>
      </c>
      <c r="AQ6" s="17">
        <v>2.2741599999999997</v>
      </c>
      <c r="AR6" s="17"/>
      <c r="AS6" s="17"/>
      <c r="AT6" s="17"/>
      <c r="AU6" s="17">
        <v>4.79198</v>
      </c>
      <c r="AV6" s="4">
        <f>(AA23*AN6+AC23*AP6+AD23*AQ6+AH23*AU6)/(-AI23)</f>
        <v>3.6828185958443513</v>
      </c>
      <c r="AW6" s="4"/>
      <c r="BI6" s="4">
        <f>(AA23*AN6+AC23*AP6+AD23*AQ6)/(-BF23)</f>
        <v>3.3590320887085765</v>
      </c>
      <c r="BJ6" s="4"/>
    </row>
    <row r="7" spans="1:62" ht="12.75">
      <c r="A7" t="s">
        <v>12</v>
      </c>
      <c r="B7" s="4">
        <v>0.8</v>
      </c>
      <c r="C7" s="4"/>
      <c r="D7" s="4">
        <v>0.85</v>
      </c>
      <c r="E7" s="4">
        <v>0.92</v>
      </c>
      <c r="F7" s="4"/>
      <c r="G7" s="4"/>
      <c r="H7" s="4">
        <v>1</v>
      </c>
      <c r="I7" s="4">
        <v>0.73</v>
      </c>
      <c r="J7" s="4">
        <v>1</v>
      </c>
      <c r="K7" s="4">
        <v>1</v>
      </c>
      <c r="N7" t="s">
        <v>12</v>
      </c>
      <c r="O7" s="616">
        <v>0.9</v>
      </c>
      <c r="P7" s="616"/>
      <c r="Q7" s="616">
        <v>0.95</v>
      </c>
      <c r="R7" s="616">
        <v>0.95</v>
      </c>
      <c r="S7" s="616"/>
      <c r="T7" s="616"/>
      <c r="U7" s="616">
        <v>1</v>
      </c>
      <c r="V7" s="616">
        <v>0.85</v>
      </c>
      <c r="W7" s="616">
        <v>1</v>
      </c>
      <c r="X7" s="616">
        <v>1</v>
      </c>
      <c r="Z7" s="1421"/>
      <c r="AA7" s="1421"/>
      <c r="AB7" s="1421"/>
      <c r="AC7" s="1421"/>
      <c r="AD7" s="1421"/>
      <c r="AE7" s="1421"/>
      <c r="AF7" s="1421"/>
      <c r="AG7" s="1421"/>
      <c r="AH7" s="1421"/>
      <c r="AI7" s="1421"/>
      <c r="AJ7" s="1421"/>
      <c r="AK7" s="1421"/>
      <c r="AU7" s="17">
        <v>4.79198</v>
      </c>
      <c r="AV7" s="4">
        <f>(AA24*AN6+AC24*AP6+AD24*AQ6+AH24*AU6)/(-AI24-AJ24)</f>
        <v>5.247102192801355</v>
      </c>
      <c r="AW7" s="4">
        <f>(AA24*AN6+AC24*AP6+AD24*AQ6+AH24*AU6)/(-AJ24-AI24)</f>
        <v>5.247102192801355</v>
      </c>
      <c r="BI7" s="4">
        <f>(AA24*AN6+AC24*AP6+AD24*AQ6)/(-BF24-BG24)</f>
        <v>4.739967885867171</v>
      </c>
      <c r="BJ7" s="4">
        <f>(AA24*AN6+AC24*AP6+AD24*AQ6)/(-BF24-BG24)</f>
        <v>4.739967885867171</v>
      </c>
    </row>
    <row r="8" spans="1:62" ht="17.25" customHeight="1" thickBot="1">
      <c r="A8" s="976"/>
      <c r="B8" s="976"/>
      <c r="C8" s="979"/>
      <c r="D8" s="979" t="s">
        <v>343</v>
      </c>
      <c r="E8" s="976"/>
      <c r="F8" s="976"/>
      <c r="G8" s="976" t="s">
        <v>344</v>
      </c>
      <c r="H8" s="976"/>
      <c r="I8" s="976"/>
      <c r="J8" s="976"/>
      <c r="K8" s="976"/>
      <c r="L8" s="977"/>
      <c r="Z8" s="974"/>
      <c r="AA8" s="974"/>
      <c r="AB8" s="974" t="str">
        <f>D8</f>
        <v xml:space="preserve">OECD Europe </v>
      </c>
      <c r="AC8" s="974"/>
      <c r="AD8" s="974"/>
      <c r="AE8" s="974"/>
      <c r="AF8" s="974" t="s">
        <v>348</v>
      </c>
      <c r="AG8" s="974"/>
      <c r="AH8" s="974"/>
      <c r="AI8" s="974"/>
      <c r="AJ8" s="974"/>
      <c r="AK8" s="975"/>
      <c r="AM8" s="113"/>
      <c r="AN8" s="114" t="s">
        <v>101</v>
      </c>
      <c r="AO8" s="115">
        <f ca="1">100*(AF20+AG20+AH20)/AK20</f>
        <v>11.368925064324259</v>
      </c>
      <c r="AP8" s="113" t="s">
        <v>102</v>
      </c>
      <c r="AQ8" s="163" t="s">
        <v>103</v>
      </c>
      <c r="AS8" s="115">
        <f ca="1">100*(AE20+AF20+AG20)/AK20</f>
        <v>18.318495607924454</v>
      </c>
      <c r="AT8" s="113" t="s">
        <v>102</v>
      </c>
      <c r="AU8" s="113"/>
      <c r="AV8" s="4"/>
      <c r="AW8" s="4">
        <f>(AA25*AN6+AC25*AP6+AD25*AQ6+AH25*AU6)/(-AJ25)</f>
        <v>4.054746771452229</v>
      </c>
      <c r="BI8" s="4"/>
      <c r="BJ8" s="4">
        <f>(AA25*AN6+AC25*AP6+AD25*AQ6)/(-BG25)</f>
        <v>3.3158157971436895</v>
      </c>
    </row>
    <row r="9" spans="1:54" ht="19.5" thickBot="1">
      <c r="A9" s="1415" t="s">
        <v>64</v>
      </c>
      <c r="B9" s="1416"/>
      <c r="C9" s="1416"/>
      <c r="D9" s="1416"/>
      <c r="E9" s="1416"/>
      <c r="F9" s="1416"/>
      <c r="G9" s="1416"/>
      <c r="H9" s="1416"/>
      <c r="I9" s="1416"/>
      <c r="J9" s="1416"/>
      <c r="K9" s="1416"/>
      <c r="L9" s="1417"/>
      <c r="N9" s="1409" t="s">
        <v>347</v>
      </c>
      <c r="O9" s="1410"/>
      <c r="P9" s="1410"/>
      <c r="Q9" s="1410"/>
      <c r="R9" s="1410"/>
      <c r="S9" s="1410"/>
      <c r="T9" s="1410"/>
      <c r="U9" s="1410"/>
      <c r="V9" s="1410"/>
      <c r="W9" s="1410"/>
      <c r="X9" s="1410"/>
      <c r="Y9" s="35"/>
      <c r="Z9" s="1409" t="s">
        <v>64</v>
      </c>
      <c r="AA9" s="1410"/>
      <c r="AB9" s="1410"/>
      <c r="AC9" s="1410"/>
      <c r="AD9" s="1410"/>
      <c r="AE9" s="1410"/>
      <c r="AF9" s="1410"/>
      <c r="AG9" s="1410"/>
      <c r="AH9" s="1410"/>
      <c r="AI9" s="1410"/>
      <c r="AJ9" s="1410"/>
      <c r="AK9" s="1411"/>
      <c r="AM9" s="1409" t="s">
        <v>71</v>
      </c>
      <c r="AN9" s="1410"/>
      <c r="AO9" s="1410"/>
      <c r="AP9" s="1410"/>
      <c r="AQ9" s="1410"/>
      <c r="AR9" s="1410"/>
      <c r="AS9" s="1410"/>
      <c r="AT9" s="1410"/>
      <c r="AU9" s="1410"/>
      <c r="AV9" s="1410"/>
      <c r="AW9" s="1410"/>
      <c r="AX9" s="1410"/>
      <c r="AY9" s="1410"/>
      <c r="AZ9" s="1410"/>
      <c r="BA9" s="1410"/>
      <c r="BB9" s="1411"/>
    </row>
    <row r="10" spans="1:54" ht="12.75">
      <c r="A10" s="40" t="s">
        <v>0</v>
      </c>
      <c r="B10" s="41" t="s">
        <v>47</v>
      </c>
      <c r="C10" s="41" t="s">
        <v>48</v>
      </c>
      <c r="D10" s="42" t="s">
        <v>230</v>
      </c>
      <c r="E10" s="41" t="s">
        <v>49</v>
      </c>
      <c r="F10" s="41" t="s">
        <v>50</v>
      </c>
      <c r="G10" s="41" t="s">
        <v>51</v>
      </c>
      <c r="H10" s="42" t="s">
        <v>237</v>
      </c>
      <c r="I10" s="42" t="s">
        <v>238</v>
      </c>
      <c r="J10" s="42" t="s">
        <v>54</v>
      </c>
      <c r="K10" s="41" t="s">
        <v>55</v>
      </c>
      <c r="L10" s="43" t="s">
        <v>56</v>
      </c>
      <c r="N10" s="69" t="s">
        <v>76</v>
      </c>
      <c r="O10" s="70" t="s">
        <v>47</v>
      </c>
      <c r="P10" s="70" t="s">
        <v>48</v>
      </c>
      <c r="Q10" s="68" t="s">
        <v>230</v>
      </c>
      <c r="R10" s="70" t="s">
        <v>49</v>
      </c>
      <c r="S10" s="70" t="s">
        <v>50</v>
      </c>
      <c r="T10" s="70" t="s">
        <v>51</v>
      </c>
      <c r="U10" s="68" t="s">
        <v>237</v>
      </c>
      <c r="V10" s="68" t="s">
        <v>238</v>
      </c>
      <c r="W10" s="68" t="s">
        <v>54</v>
      </c>
      <c r="X10" s="70" t="s">
        <v>55</v>
      </c>
      <c r="Y10" s="27" t="s">
        <v>56</v>
      </c>
      <c r="Z10" s="69" t="s">
        <v>76</v>
      </c>
      <c r="AA10" s="92" t="s">
        <v>47</v>
      </c>
      <c r="AB10" s="92" t="s">
        <v>48</v>
      </c>
      <c r="AC10" s="99" t="s">
        <v>230</v>
      </c>
      <c r="AD10" s="92" t="s">
        <v>49</v>
      </c>
      <c r="AE10" s="92" t="s">
        <v>50</v>
      </c>
      <c r="AF10" s="92" t="s">
        <v>51</v>
      </c>
      <c r="AG10" s="99" t="s">
        <v>237</v>
      </c>
      <c r="AH10" s="99" t="s">
        <v>238</v>
      </c>
      <c r="AI10" s="99" t="s">
        <v>54</v>
      </c>
      <c r="AJ10" s="92" t="s">
        <v>55</v>
      </c>
      <c r="AK10" s="96" t="s">
        <v>56</v>
      </c>
      <c r="AM10" s="19" t="s">
        <v>0</v>
      </c>
      <c r="AN10" s="13" t="s">
        <v>47</v>
      </c>
      <c r="AO10" s="13" t="s">
        <v>48</v>
      </c>
      <c r="AP10" s="15" t="s">
        <v>230</v>
      </c>
      <c r="AQ10" s="13" t="s">
        <v>49</v>
      </c>
      <c r="AR10" s="136" t="s">
        <v>50</v>
      </c>
      <c r="AS10" s="136" t="s">
        <v>51</v>
      </c>
      <c r="AT10" s="137" t="s">
        <v>237</v>
      </c>
      <c r="AU10" s="15" t="s">
        <v>238</v>
      </c>
      <c r="AV10" s="15" t="s">
        <v>54</v>
      </c>
      <c r="AW10" s="13" t="s">
        <v>55</v>
      </c>
      <c r="AX10" s="13" t="s">
        <v>56</v>
      </c>
      <c r="AY10" s="738" t="s">
        <v>56</v>
      </c>
      <c r="AZ10" s="130"/>
      <c r="BA10" s="13" t="s">
        <v>56</v>
      </c>
      <c r="BB10" s="131"/>
    </row>
    <row r="11" spans="1:54" ht="13.5" thickBot="1">
      <c r="A11" s="44" t="s">
        <v>1</v>
      </c>
      <c r="B11" s="45" t="s">
        <v>46</v>
      </c>
      <c r="C11" s="45" t="s">
        <v>58</v>
      </c>
      <c r="D11" s="46" t="s">
        <v>59</v>
      </c>
      <c r="E11" s="45"/>
      <c r="F11" s="45"/>
      <c r="G11" s="45"/>
      <c r="H11" s="46" t="s">
        <v>241</v>
      </c>
      <c r="I11" s="46" t="s">
        <v>239</v>
      </c>
      <c r="J11" s="46"/>
      <c r="K11" s="45"/>
      <c r="L11" s="47"/>
      <c r="N11" s="2" t="s">
        <v>77</v>
      </c>
      <c r="O11" s="14" t="s">
        <v>46</v>
      </c>
      <c r="P11" s="14" t="s">
        <v>58</v>
      </c>
      <c r="Q11" s="16" t="s">
        <v>59</v>
      </c>
      <c r="R11" s="14"/>
      <c r="S11" s="14"/>
      <c r="T11" s="14"/>
      <c r="U11" s="16" t="s">
        <v>241</v>
      </c>
      <c r="V11" s="71" t="s">
        <v>240</v>
      </c>
      <c r="W11" s="16"/>
      <c r="X11" s="14"/>
      <c r="Y11" s="28"/>
      <c r="Z11" s="2" t="s">
        <v>77</v>
      </c>
      <c r="AA11" s="93" t="s">
        <v>46</v>
      </c>
      <c r="AB11" s="93" t="s">
        <v>58</v>
      </c>
      <c r="AC11" s="100" t="s">
        <v>59</v>
      </c>
      <c r="AD11" s="93"/>
      <c r="AE11" s="93"/>
      <c r="AF11" s="93"/>
      <c r="AG11" s="100" t="s">
        <v>241</v>
      </c>
      <c r="AH11" s="101" t="s">
        <v>239</v>
      </c>
      <c r="AI11" s="100"/>
      <c r="AJ11" s="93"/>
      <c r="AK11" s="97"/>
      <c r="AM11" s="20" t="s">
        <v>1</v>
      </c>
      <c r="AN11" s="14" t="s">
        <v>46</v>
      </c>
      <c r="AO11" s="14" t="s">
        <v>58</v>
      </c>
      <c r="AP11" s="16" t="s">
        <v>59</v>
      </c>
      <c r="AQ11" s="14"/>
      <c r="AR11" s="138"/>
      <c r="AS11" s="138"/>
      <c r="AT11" s="127" t="s">
        <v>241</v>
      </c>
      <c r="AU11" s="127" t="s">
        <v>239</v>
      </c>
      <c r="AV11" s="16"/>
      <c r="AW11" s="14"/>
      <c r="AX11" s="14"/>
      <c r="AY11" s="821"/>
      <c r="AZ11" s="132"/>
      <c r="BA11" s="14" t="s">
        <v>68</v>
      </c>
      <c r="BB11" s="133"/>
    </row>
    <row r="12" spans="1:37" ht="12.75">
      <c r="A12" s="48" t="s">
        <v>2</v>
      </c>
      <c r="B12" s="49">
        <v>174.43</v>
      </c>
      <c r="C12" s="49">
        <v>211.68</v>
      </c>
      <c r="D12" s="49"/>
      <c r="E12" s="49">
        <v>235.29</v>
      </c>
      <c r="F12" s="49">
        <v>230.45</v>
      </c>
      <c r="G12" s="49">
        <v>44.27</v>
      </c>
      <c r="H12" s="49">
        <v>25.46</v>
      </c>
      <c r="I12" s="49">
        <v>111.85</v>
      </c>
      <c r="J12" s="49"/>
      <c r="K12" s="49">
        <v>0.42</v>
      </c>
      <c r="L12" s="55">
        <v>1033.85</v>
      </c>
      <c r="N12" s="3" t="s">
        <v>2</v>
      </c>
      <c r="O12" s="24">
        <v>0</v>
      </c>
      <c r="P12" s="24">
        <v>0</v>
      </c>
      <c r="Q12" s="24">
        <v>0</v>
      </c>
      <c r="R12" s="24">
        <v>0</v>
      </c>
      <c r="S12" s="24">
        <v>0</v>
      </c>
      <c r="T12" s="24">
        <v>0</v>
      </c>
      <c r="U12" s="24">
        <v>0</v>
      </c>
      <c r="V12" s="24">
        <v>0</v>
      </c>
      <c r="W12" s="280">
        <v>0</v>
      </c>
      <c r="X12" s="24">
        <v>0</v>
      </c>
      <c r="Y12" s="29"/>
      <c r="Z12" s="3" t="s">
        <v>2</v>
      </c>
      <c r="AA12" s="154">
        <f>B12+O12</f>
        <v>174.43</v>
      </c>
      <c r="AB12" s="154">
        <f aca="true" t="shared" si="0" ref="AB12:AB18">C12+P12</f>
        <v>211.68</v>
      </c>
      <c r="AC12" s="154">
        <f aca="true" t="shared" si="1" ref="AC12:AC18">D12+Q12</f>
        <v>0</v>
      </c>
      <c r="AD12" s="154">
        <f aca="true" t="shared" si="2" ref="AD12:AD18">E12+R12</f>
        <v>235.29</v>
      </c>
      <c r="AE12" s="154">
        <f aca="true" t="shared" si="3" ref="AE12:AE18">F12+S12</f>
        <v>230.45</v>
      </c>
      <c r="AF12" s="154">
        <f aca="true" t="shared" si="4" ref="AF12:AF18">G12+T12</f>
        <v>44.27</v>
      </c>
      <c r="AG12" s="154">
        <f aca="true" t="shared" si="5" ref="AG12:AG18">H12+U12</f>
        <v>25.46</v>
      </c>
      <c r="AH12" s="154">
        <f aca="true" t="shared" si="6" ref="AH12:AH18">I12+V12</f>
        <v>111.85</v>
      </c>
      <c r="AI12" s="154">
        <f aca="true" t="shared" si="7" ref="AI12:AI18">J12+W12</f>
        <v>0</v>
      </c>
      <c r="AJ12" s="154">
        <f aca="true" t="shared" si="8" ref="AJ12:AJ18">K12+X12</f>
        <v>0.42</v>
      </c>
      <c r="AK12" s="157">
        <f>SUM(AA12:AJ12)</f>
        <v>1033.85</v>
      </c>
    </row>
    <row r="13" spans="1:54" ht="18.75">
      <c r="A13" s="48" t="s">
        <v>5</v>
      </c>
      <c r="B13" s="49">
        <v>143.16</v>
      </c>
      <c r="C13" s="49">
        <v>600.42</v>
      </c>
      <c r="D13" s="49">
        <v>323.06</v>
      </c>
      <c r="E13" s="49">
        <v>365.87</v>
      </c>
      <c r="F13" s="49"/>
      <c r="G13" s="49"/>
      <c r="H13" s="49"/>
      <c r="I13" s="49">
        <v>6.86</v>
      </c>
      <c r="J13" s="49">
        <v>26.73</v>
      </c>
      <c r="K13" s="49">
        <v>0</v>
      </c>
      <c r="L13" s="55">
        <v>1466.11</v>
      </c>
      <c r="N13" s="3" t="s">
        <v>5</v>
      </c>
      <c r="O13" s="24">
        <v>0</v>
      </c>
      <c r="P13" s="24">
        <v>0</v>
      </c>
      <c r="Q13" s="24">
        <v>0</v>
      </c>
      <c r="R13" s="24">
        <v>0</v>
      </c>
      <c r="S13" s="280">
        <v>0</v>
      </c>
      <c r="T13" s="280">
        <v>0</v>
      </c>
      <c r="U13" s="280">
        <v>0</v>
      </c>
      <c r="V13" s="24">
        <v>0</v>
      </c>
      <c r="W13" s="24">
        <v>0</v>
      </c>
      <c r="X13" s="24">
        <v>0</v>
      </c>
      <c r="Y13" s="29"/>
      <c r="Z13" s="3" t="s">
        <v>5</v>
      </c>
      <c r="AA13" s="154">
        <f aca="true" t="shared" si="9" ref="AA13:AA18">B13+O13</f>
        <v>143.16</v>
      </c>
      <c r="AB13" s="154">
        <f t="shared" si="0"/>
        <v>600.42</v>
      </c>
      <c r="AC13" s="154">
        <f t="shared" si="1"/>
        <v>323.06</v>
      </c>
      <c r="AD13" s="154">
        <f t="shared" si="2"/>
        <v>365.87</v>
      </c>
      <c r="AE13" s="154">
        <f t="shared" si="3"/>
        <v>0</v>
      </c>
      <c r="AF13" s="154">
        <f t="shared" si="4"/>
        <v>0</v>
      </c>
      <c r="AG13" s="154">
        <f t="shared" si="5"/>
        <v>0</v>
      </c>
      <c r="AH13" s="154">
        <f t="shared" si="6"/>
        <v>6.86</v>
      </c>
      <c r="AI13" s="154">
        <f t="shared" si="7"/>
        <v>26.73</v>
      </c>
      <c r="AJ13" s="154">
        <f t="shared" si="8"/>
        <v>0</v>
      </c>
      <c r="AK13" s="157">
        <f aca="true" t="shared" si="10" ref="AK13:AK75">SUM(AA13:AJ13)</f>
        <v>1466.0999999999997</v>
      </c>
      <c r="AM13" s="72" t="s">
        <v>91</v>
      </c>
      <c r="AN13" s="73"/>
      <c r="AO13" s="73"/>
      <c r="AP13" s="73"/>
      <c r="AQ13" s="73"/>
      <c r="AR13" s="73"/>
      <c r="AS13" s="73"/>
      <c r="AT13" s="73"/>
      <c r="AU13" s="73"/>
      <c r="AV13" s="73"/>
      <c r="AW13" s="73"/>
      <c r="AX13" s="73"/>
      <c r="AY13" s="822"/>
      <c r="AZ13" s="124"/>
      <c r="BA13" s="124"/>
      <c r="BB13" s="124"/>
    </row>
    <row r="14" spans="1:55" ht="17.25" thickBot="1">
      <c r="A14" s="48" t="s">
        <v>6</v>
      </c>
      <c r="B14" s="49">
        <v>-23.65</v>
      </c>
      <c r="C14" s="49">
        <v>-155.63</v>
      </c>
      <c r="D14" s="49">
        <v>-283.58</v>
      </c>
      <c r="E14" s="49">
        <v>-159.21</v>
      </c>
      <c r="F14" s="49"/>
      <c r="G14" s="49"/>
      <c r="H14" s="49"/>
      <c r="I14" s="49">
        <v>-1.98</v>
      </c>
      <c r="J14" s="49">
        <v>-25.71</v>
      </c>
      <c r="K14" s="49">
        <v>-0.01</v>
      </c>
      <c r="L14" s="55">
        <v>-649.77</v>
      </c>
      <c r="N14" s="3" t="s">
        <v>6</v>
      </c>
      <c r="O14" s="24">
        <v>0</v>
      </c>
      <c r="P14" s="24">
        <v>0</v>
      </c>
      <c r="Q14" s="24">
        <v>0</v>
      </c>
      <c r="R14" s="24">
        <v>0</v>
      </c>
      <c r="S14" s="280">
        <v>0</v>
      </c>
      <c r="T14" s="280">
        <v>0</v>
      </c>
      <c r="U14" s="280">
        <v>0</v>
      </c>
      <c r="V14" s="24">
        <v>0</v>
      </c>
      <c r="W14" s="24">
        <v>0</v>
      </c>
      <c r="X14" s="24">
        <v>0</v>
      </c>
      <c r="Y14" s="29"/>
      <c r="Z14" s="3" t="s">
        <v>6</v>
      </c>
      <c r="AA14" s="154">
        <f t="shared" si="9"/>
        <v>-23.65</v>
      </c>
      <c r="AB14" s="154">
        <f t="shared" si="0"/>
        <v>-155.63</v>
      </c>
      <c r="AC14" s="154">
        <f t="shared" si="1"/>
        <v>-283.58</v>
      </c>
      <c r="AD14" s="154">
        <f t="shared" si="2"/>
        <v>-159.21</v>
      </c>
      <c r="AE14" s="154">
        <f t="shared" si="3"/>
        <v>0</v>
      </c>
      <c r="AF14" s="154">
        <f t="shared" si="4"/>
        <v>0</v>
      </c>
      <c r="AG14" s="154">
        <f t="shared" si="5"/>
        <v>0</v>
      </c>
      <c r="AH14" s="154">
        <f t="shared" si="6"/>
        <v>-1.98</v>
      </c>
      <c r="AI14" s="154">
        <f t="shared" si="7"/>
        <v>-25.71</v>
      </c>
      <c r="AJ14" s="154">
        <f t="shared" si="8"/>
        <v>-0.01</v>
      </c>
      <c r="AK14" s="157">
        <f t="shared" si="10"/>
        <v>-649.7700000000001</v>
      </c>
      <c r="AM14" s="23" t="s">
        <v>92</v>
      </c>
      <c r="AN14" s="1002">
        <f>B19*AN6</f>
        <v>1087.5946844999999</v>
      </c>
      <c r="AO14" s="1002">
        <f>C19*AO6</f>
        <v>2055.6388082999997</v>
      </c>
      <c r="AP14" s="1002">
        <f>D19*AP6</f>
        <v>-453.59826819999995</v>
      </c>
      <c r="AQ14" s="1002">
        <f>E19*AQ6</f>
        <v>969.2924751999999</v>
      </c>
      <c r="AR14" s="1002"/>
      <c r="AS14" s="1003"/>
      <c r="AT14" s="1003"/>
      <c r="AU14" s="1002">
        <f>I19*AU6</f>
        <v>559.1282264</v>
      </c>
      <c r="AV14" s="1003"/>
      <c r="AW14" s="1003"/>
      <c r="AX14" s="94"/>
      <c r="AY14" s="823">
        <f>SUM(AN14:AU14)</f>
        <v>4218.0559262</v>
      </c>
      <c r="BA14" s="103">
        <f>SUM(AN14:AQ14)</f>
        <v>3658.9276997999996</v>
      </c>
      <c r="BC14" s="580"/>
    </row>
    <row r="15" spans="1:54" ht="16.5">
      <c r="A15" s="212" t="s">
        <v>3</v>
      </c>
      <c r="B15" s="254">
        <v>0</v>
      </c>
      <c r="C15" s="254"/>
      <c r="D15" s="973">
        <v>-47</v>
      </c>
      <c r="E15" s="254"/>
      <c r="F15" s="254"/>
      <c r="G15" s="254"/>
      <c r="H15" s="254"/>
      <c r="I15" s="254"/>
      <c r="J15" s="254"/>
      <c r="K15" s="254"/>
      <c r="L15" s="234">
        <v>-47</v>
      </c>
      <c r="N15" s="3" t="s">
        <v>3</v>
      </c>
      <c r="O15" s="24">
        <v>0</v>
      </c>
      <c r="P15" s="24">
        <v>0</v>
      </c>
      <c r="Q15" s="24">
        <v>0</v>
      </c>
      <c r="R15" s="24">
        <v>0</v>
      </c>
      <c r="S15" s="280">
        <v>0</v>
      </c>
      <c r="T15" s="280">
        <v>0</v>
      </c>
      <c r="U15" s="280">
        <v>0</v>
      </c>
      <c r="V15" s="24">
        <v>0</v>
      </c>
      <c r="W15" s="280">
        <v>0</v>
      </c>
      <c r="X15" s="280">
        <v>0</v>
      </c>
      <c r="Y15" s="29"/>
      <c r="Z15" s="3" t="s">
        <v>3</v>
      </c>
      <c r="AA15" s="207">
        <f t="shared" si="9"/>
        <v>0</v>
      </c>
      <c r="AB15" s="154">
        <f t="shared" si="0"/>
        <v>0</v>
      </c>
      <c r="AC15" s="154">
        <f t="shared" si="1"/>
        <v>-47</v>
      </c>
      <c r="AD15" s="154">
        <f t="shared" si="2"/>
        <v>0</v>
      </c>
      <c r="AE15" s="154">
        <f t="shared" si="3"/>
        <v>0</v>
      </c>
      <c r="AF15" s="154">
        <f t="shared" si="4"/>
        <v>0</v>
      </c>
      <c r="AG15" s="154">
        <f t="shared" si="5"/>
        <v>0</v>
      </c>
      <c r="AH15" s="154">
        <f t="shared" si="6"/>
        <v>0</v>
      </c>
      <c r="AI15" s="154">
        <f t="shared" si="7"/>
        <v>0</v>
      </c>
      <c r="AJ15" s="154">
        <f t="shared" si="8"/>
        <v>0</v>
      </c>
      <c r="AK15" s="157">
        <f t="shared" si="10"/>
        <v>-47</v>
      </c>
      <c r="AM15" s="22" t="s">
        <v>97</v>
      </c>
      <c r="AN15" s="1004"/>
      <c r="AO15" s="1004"/>
      <c r="AP15" s="1004"/>
      <c r="AQ15" s="1004"/>
      <c r="AR15" s="1004"/>
      <c r="AS15" s="1005"/>
      <c r="AT15" s="1005"/>
      <c r="AU15" s="1005"/>
      <c r="AV15" s="1005"/>
      <c r="AW15" s="1005"/>
      <c r="AX15" s="1005"/>
      <c r="AY15" s="824"/>
      <c r="AZ15" s="125"/>
      <c r="BA15" s="104">
        <f>0.8*BA14</f>
        <v>2927.1421598399997</v>
      </c>
      <c r="BB15" s="125"/>
    </row>
    <row r="16" spans="1:56" ht="16.5">
      <c r="A16" s="212" t="s">
        <v>105</v>
      </c>
      <c r="B16" s="254"/>
      <c r="C16" s="254"/>
      <c r="D16" s="973">
        <v>-44.8</v>
      </c>
      <c r="E16" s="254"/>
      <c r="F16" s="254"/>
      <c r="G16" s="254"/>
      <c r="H16" s="254"/>
      <c r="I16" s="254"/>
      <c r="J16" s="254"/>
      <c r="K16" s="254"/>
      <c r="L16" s="234">
        <v>-44.8</v>
      </c>
      <c r="N16" s="3" t="s">
        <v>4</v>
      </c>
      <c r="O16" s="24">
        <v>0</v>
      </c>
      <c r="P16" s="24">
        <v>0</v>
      </c>
      <c r="Q16" s="24">
        <v>0</v>
      </c>
      <c r="R16" s="24">
        <v>0</v>
      </c>
      <c r="S16" s="280">
        <v>0</v>
      </c>
      <c r="T16" s="280">
        <v>0</v>
      </c>
      <c r="U16" s="280">
        <v>0</v>
      </c>
      <c r="V16" s="24">
        <v>0</v>
      </c>
      <c r="W16" s="280">
        <v>0</v>
      </c>
      <c r="X16" s="280">
        <v>0</v>
      </c>
      <c r="Y16" s="29"/>
      <c r="Z16" s="3" t="s">
        <v>4</v>
      </c>
      <c r="AA16" s="207">
        <f t="shared" si="9"/>
        <v>0</v>
      </c>
      <c r="AB16" s="154">
        <f t="shared" si="0"/>
        <v>0</v>
      </c>
      <c r="AC16" s="154">
        <f t="shared" si="1"/>
        <v>-44.8</v>
      </c>
      <c r="AD16" s="154">
        <f t="shared" si="2"/>
        <v>0</v>
      </c>
      <c r="AE16" s="154">
        <f t="shared" si="3"/>
        <v>0</v>
      </c>
      <c r="AF16" s="154">
        <f t="shared" si="4"/>
        <v>0</v>
      </c>
      <c r="AG16" s="154">
        <f t="shared" si="5"/>
        <v>0</v>
      </c>
      <c r="AH16" s="154">
        <f t="shared" si="6"/>
        <v>0</v>
      </c>
      <c r="AI16" s="154">
        <f t="shared" si="7"/>
        <v>0</v>
      </c>
      <c r="AJ16" s="154">
        <f t="shared" si="8"/>
        <v>0</v>
      </c>
      <c r="AK16" s="157">
        <f t="shared" si="10"/>
        <v>-44.8</v>
      </c>
      <c r="AM16" s="128" t="s">
        <v>70</v>
      </c>
      <c r="AN16" s="1006">
        <f>AA19*AN$6</f>
        <v>1087.5561050000001</v>
      </c>
      <c r="AO16" s="1006">
        <f>AB19*AO$6</f>
        <v>2055.6388082999993</v>
      </c>
      <c r="AP16" s="1006">
        <f>AC19*AP$6</f>
        <v>-453.5669984999999</v>
      </c>
      <c r="AQ16" s="1006">
        <f>AD19*AQ$6</f>
        <v>969.2697335999999</v>
      </c>
      <c r="AR16" s="1006"/>
      <c r="AS16" s="1006"/>
      <c r="AT16" s="1006"/>
      <c r="AU16" s="1006">
        <f>AH19*AU$6</f>
        <v>559.1761461999998</v>
      </c>
      <c r="AV16" s="1006"/>
      <c r="AW16" s="1006"/>
      <c r="AX16" s="94"/>
      <c r="AY16" s="825">
        <f>SUM(AN16:AU16)</f>
        <v>4218.073794599999</v>
      </c>
      <c r="AZ16" s="91"/>
      <c r="BA16" s="129">
        <f>SUM(AN16:AQ16)</f>
        <v>3658.8976483999995</v>
      </c>
      <c r="BB16" s="91"/>
      <c r="BC16" s="580"/>
      <c r="BD16" s="205" t="s">
        <v>122</v>
      </c>
    </row>
    <row r="17" spans="1:54" ht="15">
      <c r="A17" s="48" t="s">
        <v>7</v>
      </c>
      <c r="B17" s="49">
        <v>-10.93</v>
      </c>
      <c r="C17" s="49">
        <v>3.31</v>
      </c>
      <c r="D17" s="49">
        <v>0.05</v>
      </c>
      <c r="E17" s="49">
        <v>-4.71</v>
      </c>
      <c r="F17" s="49"/>
      <c r="G17" s="49"/>
      <c r="H17" s="49"/>
      <c r="I17" s="49">
        <v>-0.04</v>
      </c>
      <c r="J17" s="49"/>
      <c r="K17" s="49"/>
      <c r="L17" s="55">
        <v>-12.32</v>
      </c>
      <c r="N17" s="3" t="s">
        <v>7</v>
      </c>
      <c r="O17" s="24">
        <v>0</v>
      </c>
      <c r="P17" s="24">
        <v>0</v>
      </c>
      <c r="Q17" s="24">
        <v>0</v>
      </c>
      <c r="R17" s="24">
        <v>0</v>
      </c>
      <c r="S17" s="280">
        <v>0</v>
      </c>
      <c r="T17" s="280">
        <v>0</v>
      </c>
      <c r="U17" s="280">
        <v>0</v>
      </c>
      <c r="V17" s="24">
        <v>0</v>
      </c>
      <c r="W17" s="280">
        <v>0</v>
      </c>
      <c r="X17" s="280">
        <v>0</v>
      </c>
      <c r="Y17" s="29"/>
      <c r="Z17" s="3" t="s">
        <v>7</v>
      </c>
      <c r="AA17" s="154">
        <f t="shared" si="9"/>
        <v>-10.93</v>
      </c>
      <c r="AB17" s="154">
        <f t="shared" si="0"/>
        <v>3.31</v>
      </c>
      <c r="AC17" s="154">
        <f t="shared" si="1"/>
        <v>0.05</v>
      </c>
      <c r="AD17" s="154">
        <f t="shared" si="2"/>
        <v>-4.71</v>
      </c>
      <c r="AE17" s="154">
        <f t="shared" si="3"/>
        <v>0</v>
      </c>
      <c r="AF17" s="154">
        <f t="shared" si="4"/>
        <v>0</v>
      </c>
      <c r="AG17" s="154">
        <f t="shared" si="5"/>
        <v>0</v>
      </c>
      <c r="AH17" s="154">
        <f t="shared" si="6"/>
        <v>-0.04</v>
      </c>
      <c r="AI17" s="154">
        <f t="shared" si="7"/>
        <v>0</v>
      </c>
      <c r="AJ17" s="154">
        <f t="shared" si="8"/>
        <v>0</v>
      </c>
      <c r="AK17" s="157">
        <f t="shared" si="10"/>
        <v>-12.319999999999999</v>
      </c>
      <c r="AM17" s="21" t="s">
        <v>69</v>
      </c>
      <c r="AN17" s="1007"/>
      <c r="AO17" s="1007"/>
      <c r="AP17" s="1007"/>
      <c r="AQ17" s="1007"/>
      <c r="AR17" s="1007"/>
      <c r="AS17" s="1007"/>
      <c r="AT17" s="1007"/>
      <c r="AU17" s="1007"/>
      <c r="AV17" s="1007"/>
      <c r="AW17" s="1007"/>
      <c r="AX17" s="1007"/>
      <c r="AY17" s="826"/>
      <c r="AZ17" s="126"/>
      <c r="BA17" s="105">
        <f>BA16-BA15</f>
        <v>731.7554885599998</v>
      </c>
      <c r="BB17" s="126"/>
    </row>
    <row r="18" spans="1:54" ht="15.75" thickBot="1">
      <c r="A18" s="518" t="s">
        <v>236</v>
      </c>
      <c r="B18" s="56">
        <v>-1.11</v>
      </c>
      <c r="C18" s="56">
        <v>-2.39</v>
      </c>
      <c r="D18" s="56">
        <v>-92.78</v>
      </c>
      <c r="E18" s="56">
        <v>-11.03</v>
      </c>
      <c r="F18" s="49"/>
      <c r="G18" s="49"/>
      <c r="H18" s="49"/>
      <c r="I18" s="49"/>
      <c r="J18" s="49"/>
      <c r="K18" s="49"/>
      <c r="L18" s="59">
        <v>-107.31</v>
      </c>
      <c r="N18" s="706" t="s">
        <v>236</v>
      </c>
      <c r="O18" s="24">
        <v>0</v>
      </c>
      <c r="P18" s="24">
        <v>0</v>
      </c>
      <c r="Q18" s="24">
        <v>0</v>
      </c>
      <c r="R18" s="24">
        <v>0</v>
      </c>
      <c r="S18" s="280">
        <v>0</v>
      </c>
      <c r="T18" s="280">
        <v>0</v>
      </c>
      <c r="U18" s="280">
        <v>0</v>
      </c>
      <c r="V18" s="280">
        <v>0</v>
      </c>
      <c r="W18" s="280">
        <v>0</v>
      </c>
      <c r="X18" s="280">
        <v>0</v>
      </c>
      <c r="Y18" s="29"/>
      <c r="Z18" s="518" t="s">
        <v>236</v>
      </c>
      <c r="AA18" s="154">
        <f t="shared" si="9"/>
        <v>-1.11</v>
      </c>
      <c r="AB18" s="154">
        <f t="shared" si="0"/>
        <v>-2.39</v>
      </c>
      <c r="AC18" s="154">
        <f t="shared" si="1"/>
        <v>-92.78</v>
      </c>
      <c r="AD18" s="154">
        <f t="shared" si="2"/>
        <v>-11.03</v>
      </c>
      <c r="AE18" s="154">
        <f t="shared" si="3"/>
        <v>0</v>
      </c>
      <c r="AF18" s="154">
        <f t="shared" si="4"/>
        <v>0</v>
      </c>
      <c r="AG18" s="154">
        <f t="shared" si="5"/>
        <v>0</v>
      </c>
      <c r="AH18" s="154">
        <f t="shared" si="6"/>
        <v>0</v>
      </c>
      <c r="AI18" s="154">
        <f t="shared" si="7"/>
        <v>0</v>
      </c>
      <c r="AJ18" s="154">
        <f t="shared" si="8"/>
        <v>0</v>
      </c>
      <c r="AK18" s="157">
        <f t="shared" si="10"/>
        <v>-107.31</v>
      </c>
      <c r="AM18" s="21"/>
      <c r="AN18" s="1007"/>
      <c r="AO18" s="1007"/>
      <c r="AP18" s="1007"/>
      <c r="AQ18" s="1007"/>
      <c r="AR18" s="1007"/>
      <c r="AS18" s="1007"/>
      <c r="AT18" s="1007"/>
      <c r="AU18" s="1007"/>
      <c r="AV18" s="1007"/>
      <c r="AW18" s="1007"/>
      <c r="AX18" s="1008"/>
      <c r="AY18" s="826"/>
      <c r="AZ18" s="126"/>
      <c r="BA18" s="105"/>
      <c r="BB18" s="126"/>
    </row>
    <row r="19" spans="1:53" s="10" customFormat="1" ht="15.75" thickBot="1">
      <c r="A19" s="50" t="s">
        <v>8</v>
      </c>
      <c r="B19" s="51">
        <f>283.02+B18</f>
        <v>281.90999999999997</v>
      </c>
      <c r="C19" s="51">
        <f>659.78+C18</f>
        <v>657.39</v>
      </c>
      <c r="D19" s="903">
        <f>-52.28+D18</f>
        <v>-145.06</v>
      </c>
      <c r="E19" s="51">
        <f>437.25+E18</f>
        <v>426.22</v>
      </c>
      <c r="F19" s="51">
        <v>230.45</v>
      </c>
      <c r="G19" s="51">
        <v>44.27</v>
      </c>
      <c r="H19" s="51">
        <v>25.46</v>
      </c>
      <c r="I19" s="51">
        <v>116.68</v>
      </c>
      <c r="J19" s="51">
        <v>1.02</v>
      </c>
      <c r="K19" s="51">
        <v>0.41</v>
      </c>
      <c r="L19" s="52">
        <f>1746.08+L18</f>
        <v>1638.77</v>
      </c>
      <c r="M19" s="31"/>
      <c r="N19" s="8" t="s">
        <v>62</v>
      </c>
      <c r="O19" s="9"/>
      <c r="P19" s="9"/>
      <c r="Q19" s="9"/>
      <c r="R19" s="9"/>
      <c r="S19" s="9"/>
      <c r="T19" s="9"/>
      <c r="U19" s="9"/>
      <c r="V19" s="9"/>
      <c r="W19" s="9"/>
      <c r="X19" s="9"/>
      <c r="Y19" s="30"/>
      <c r="Z19" s="8" t="s">
        <v>62</v>
      </c>
      <c r="AA19" s="95">
        <f>SUM(AA12:AA18)</f>
        <v>281.90000000000003</v>
      </c>
      <c r="AB19" s="95">
        <f aca="true" t="shared" si="11" ref="AB19:AD19">SUM(AB12:AB18)</f>
        <v>657.3899999999999</v>
      </c>
      <c r="AC19" s="95">
        <f t="shared" si="11"/>
        <v>-145.04999999999998</v>
      </c>
      <c r="AD19" s="95">
        <f t="shared" si="11"/>
        <v>426.21</v>
      </c>
      <c r="AE19" s="95">
        <f aca="true" t="shared" si="12" ref="AE19:AJ19">SUM(AE12:AE18)</f>
        <v>230.45</v>
      </c>
      <c r="AF19" s="95">
        <f t="shared" si="12"/>
        <v>44.27</v>
      </c>
      <c r="AG19" s="95">
        <f t="shared" si="12"/>
        <v>25.46</v>
      </c>
      <c r="AH19" s="95">
        <f t="shared" si="12"/>
        <v>116.68999999999998</v>
      </c>
      <c r="AI19" s="95">
        <f t="shared" si="12"/>
        <v>1.0199999999999996</v>
      </c>
      <c r="AJ19" s="95">
        <f t="shared" si="12"/>
        <v>0.41</v>
      </c>
      <c r="AK19" s="98">
        <f>SUM(AK12:AK18)</f>
        <v>1638.75</v>
      </c>
      <c r="AL19" s="31"/>
      <c r="AN19" s="802"/>
      <c r="AO19" s="802"/>
      <c r="AP19" s="802"/>
      <c r="AQ19" s="802"/>
      <c r="AR19" s="802"/>
      <c r="AS19" s="802"/>
      <c r="AT19" s="802"/>
      <c r="AU19" s="802"/>
      <c r="AV19" s="802"/>
      <c r="AW19" s="802"/>
      <c r="AX19" s="1009">
        <f ca="1">AX20-AU20</f>
        <v>3652.5475097463714</v>
      </c>
      <c r="AY19" s="934"/>
      <c r="BA19" s="1034" t="s">
        <v>104</v>
      </c>
    </row>
    <row r="20" spans="1:51" s="18" customFormat="1" ht="17.25" thickBot="1">
      <c r="A20" s="84"/>
      <c r="B20" s="901" t="s">
        <v>345</v>
      </c>
      <c r="C20" s="902"/>
      <c r="D20" s="902"/>
      <c r="E20" s="902"/>
      <c r="F20" s="902">
        <f>F19/($F19+$G19+$H19)</f>
        <v>0.7677060430408422</v>
      </c>
      <c r="G20" s="902">
        <f>G19/($F19+$G19+$H19)</f>
        <v>0.14747817975881142</v>
      </c>
      <c r="H20" s="902">
        <f>H19/($F19+$G19+$H19)</f>
        <v>0.08481577720034647</v>
      </c>
      <c r="I20" s="85"/>
      <c r="J20" s="85"/>
      <c r="K20" s="85"/>
      <c r="L20" s="85"/>
      <c r="M20" s="31"/>
      <c r="N20" s="8" t="s">
        <v>75</v>
      </c>
      <c r="O20" s="36"/>
      <c r="P20" s="36"/>
      <c r="Q20" s="36"/>
      <c r="R20" s="36"/>
      <c r="S20" s="36"/>
      <c r="T20" s="36"/>
      <c r="U20" s="36"/>
      <c r="V20" s="36"/>
      <c r="W20" s="36"/>
      <c r="X20" s="37"/>
      <c r="Y20" s="31"/>
      <c r="Z20" s="8" t="s">
        <v>75</v>
      </c>
      <c r="AA20" s="95">
        <f aca="true" t="shared" si="13" ref="AA20:AK20">AA36-SUM(AA21:AA34)</f>
        <v>281.91999999999996</v>
      </c>
      <c r="AB20" s="95">
        <f t="shared" si="13"/>
        <v>657.4</v>
      </c>
      <c r="AC20" s="95">
        <f ca="1" t="shared" si="13"/>
        <v>-144.93996860248723</v>
      </c>
      <c r="AD20" s="95">
        <f ca="1" t="shared" si="13"/>
        <v>425.9999769715896</v>
      </c>
      <c r="AE20" s="95">
        <f t="shared" si="13"/>
        <v>230.45000000000002</v>
      </c>
      <c r="AF20" s="95">
        <f t="shared" si="13"/>
        <v>44.27</v>
      </c>
      <c r="AG20" s="95">
        <f t="shared" si="13"/>
        <v>25.45</v>
      </c>
      <c r="AH20" s="95">
        <f ca="1" t="shared" si="13"/>
        <v>116.5731492628653</v>
      </c>
      <c r="AI20" s="95">
        <f ca="1" t="shared" si="13"/>
        <v>1.1546802112538614</v>
      </c>
      <c r="AJ20" s="95">
        <f t="shared" si="13"/>
        <v>0.33925399999999684</v>
      </c>
      <c r="AK20" s="158">
        <f ca="1" t="shared" si="13"/>
        <v>1638.6170918432217</v>
      </c>
      <c r="AL20" s="31"/>
      <c r="AM20" s="8" t="s">
        <v>75</v>
      </c>
      <c r="AN20" s="187">
        <f>AN36+SUM(AN21:AN34)</f>
        <v>1088.9551195</v>
      </c>
      <c r="AO20" s="187">
        <f>AO36+SUM(AO21:AO34)</f>
        <v>5.6910853999999995</v>
      </c>
      <c r="AP20" s="187">
        <f ca="1">AP36+SUM(AP21:AP34)</f>
        <v>1594.5046405790806</v>
      </c>
      <c r="AQ20" s="187">
        <f ca="1">AQ36+SUM(AQ21:AQ34)</f>
        <v>963.22041562971</v>
      </c>
      <c r="AR20" s="187">
        <f aca="true" t="shared" si="14" ref="AR20:AT20">AR36-SUM(AR21:AR34)</f>
        <v>0</v>
      </c>
      <c r="AS20" s="187">
        <f t="shared" si="14"/>
        <v>0</v>
      </c>
      <c r="AT20" s="187">
        <f t="shared" si="14"/>
        <v>0</v>
      </c>
      <c r="AU20" s="187">
        <f ca="1">AU36+SUM(AU21:AU34)</f>
        <v>558.5682800046652</v>
      </c>
      <c r="AV20" s="1010"/>
      <c r="AW20" s="1010"/>
      <c r="AX20" s="1011">
        <f ca="1">AX36+SUM(AX26:AX34)</f>
        <v>4211.115789751037</v>
      </c>
      <c r="AY20" s="123" t="s">
        <v>96</v>
      </c>
    </row>
    <row r="21" spans="1:53" ht="12.75">
      <c r="A21" s="48" t="s">
        <v>9</v>
      </c>
      <c r="B21" s="49"/>
      <c r="C21" s="49">
        <v>7.44</v>
      </c>
      <c r="D21" s="53">
        <v>-5.14</v>
      </c>
      <c r="E21" s="49">
        <v>0</v>
      </c>
      <c r="F21" s="49"/>
      <c r="G21" s="49"/>
      <c r="H21" s="49"/>
      <c r="I21" s="49"/>
      <c r="J21" s="49"/>
      <c r="K21" s="49"/>
      <c r="L21" s="55">
        <v>2.29</v>
      </c>
      <c r="N21" s="3" t="s">
        <v>9</v>
      </c>
      <c r="O21" s="280">
        <v>0</v>
      </c>
      <c r="P21" s="24">
        <v>0</v>
      </c>
      <c r="Q21" s="24">
        <v>0</v>
      </c>
      <c r="R21" s="24">
        <v>0</v>
      </c>
      <c r="S21" s="280">
        <v>0</v>
      </c>
      <c r="T21" s="280">
        <v>0</v>
      </c>
      <c r="U21" s="280">
        <v>0</v>
      </c>
      <c r="V21" s="280">
        <v>0</v>
      </c>
      <c r="W21" s="280">
        <v>0</v>
      </c>
      <c r="X21" s="280">
        <v>0</v>
      </c>
      <c r="Z21" s="3" t="s">
        <v>9</v>
      </c>
      <c r="AA21" s="154">
        <f aca="true" t="shared" si="15" ref="AA21:AA34">B21+O21</f>
        <v>0</v>
      </c>
      <c r="AB21" s="154">
        <f aca="true" t="shared" si="16" ref="AB21:AB34">C21+P21</f>
        <v>7.44</v>
      </c>
      <c r="AC21" s="154">
        <f aca="true" t="shared" si="17" ref="AC21:AC34">D21+Q21</f>
        <v>-5.14</v>
      </c>
      <c r="AD21" s="154">
        <f aca="true" t="shared" si="18" ref="AD21:AD34">E21+R21</f>
        <v>0</v>
      </c>
      <c r="AE21" s="154">
        <f aca="true" t="shared" si="19" ref="AE21:AE34">F21+S21</f>
        <v>0</v>
      </c>
      <c r="AF21" s="154">
        <f aca="true" t="shared" si="20" ref="AF21:AF34">G21+T21</f>
        <v>0</v>
      </c>
      <c r="AG21" s="154">
        <f aca="true" t="shared" si="21" ref="AG21:AG34">H21+U21</f>
        <v>0</v>
      </c>
      <c r="AH21" s="154">
        <f aca="true" t="shared" si="22" ref="AH21:AH34">I21+V21</f>
        <v>0</v>
      </c>
      <c r="AI21" s="154">
        <f aca="true" t="shared" si="23" ref="AI21:AI22">J21+W21</f>
        <v>0</v>
      </c>
      <c r="AJ21" s="154">
        <f aca="true" t="shared" si="24" ref="AJ21:AJ22">K21+X21</f>
        <v>0</v>
      </c>
      <c r="AK21" s="157">
        <f t="shared" si="10"/>
        <v>2.3000000000000007</v>
      </c>
      <c r="AM21" s="82" t="s">
        <v>9</v>
      </c>
      <c r="AN21" s="154">
        <f aca="true" t="shared" si="25" ref="AN21">AA21*AN$6</f>
        <v>0</v>
      </c>
      <c r="AO21" s="154"/>
      <c r="AP21" s="154"/>
      <c r="AQ21" s="154">
        <f aca="true" t="shared" si="26" ref="AQ21:AQ31">AD21*AQ$6</f>
        <v>0</v>
      </c>
      <c r="AR21" s="154">
        <f aca="true" t="shared" si="27" ref="AR21:AR31">AE21*AR$6</f>
        <v>0</v>
      </c>
      <c r="AS21" s="154">
        <f aca="true" t="shared" si="28" ref="AS21:AS31">AF21*AS$6</f>
        <v>0</v>
      </c>
      <c r="AT21" s="154">
        <f aca="true" t="shared" si="29" ref="AT21:AT31">AG21*AT$6</f>
        <v>0</v>
      </c>
      <c r="AU21" s="154">
        <f aca="true" t="shared" si="30" ref="AU21:AU31">AH21*AU$6</f>
        <v>0</v>
      </c>
      <c r="AV21" s="154"/>
      <c r="AW21" s="154"/>
      <c r="AX21" s="157">
        <f>SUM(AN21:AW21)</f>
        <v>0</v>
      </c>
      <c r="AZ21" s="4"/>
      <c r="BA21" s="241"/>
    </row>
    <row r="22" spans="1:62" ht="12.75">
      <c r="A22" s="48" t="s">
        <v>13</v>
      </c>
      <c r="B22" s="49">
        <v>0.35</v>
      </c>
      <c r="C22" s="49">
        <v>3.5</v>
      </c>
      <c r="D22" s="49">
        <v>-6.48</v>
      </c>
      <c r="E22" s="49">
        <v>-2.41</v>
      </c>
      <c r="F22" s="49"/>
      <c r="G22" s="49"/>
      <c r="H22" s="49"/>
      <c r="I22" s="49">
        <v>-0.01</v>
      </c>
      <c r="J22" s="49">
        <v>-0.07</v>
      </c>
      <c r="K22" s="49">
        <v>0</v>
      </c>
      <c r="L22" s="55">
        <v>-5.12</v>
      </c>
      <c r="N22" s="3" t="s">
        <v>13</v>
      </c>
      <c r="O22" s="24">
        <v>0</v>
      </c>
      <c r="P22" s="24">
        <v>0</v>
      </c>
      <c r="Q22" s="24">
        <v>0</v>
      </c>
      <c r="R22" s="24">
        <v>0</v>
      </c>
      <c r="S22" s="24">
        <v>0</v>
      </c>
      <c r="T22" s="24">
        <v>0</v>
      </c>
      <c r="U22" s="24">
        <v>0</v>
      </c>
      <c r="V22" s="24">
        <v>0</v>
      </c>
      <c r="W22" s="24">
        <v>0</v>
      </c>
      <c r="X22" s="24">
        <v>0</v>
      </c>
      <c r="Y22" s="32"/>
      <c r="Z22" s="3" t="s">
        <v>13</v>
      </c>
      <c r="AA22" s="154">
        <f t="shared" si="15"/>
        <v>0.35</v>
      </c>
      <c r="AB22" s="154">
        <f t="shared" si="16"/>
        <v>3.5</v>
      </c>
      <c r="AC22" s="154">
        <f t="shared" si="17"/>
        <v>-6.48</v>
      </c>
      <c r="AD22" s="154">
        <f t="shared" si="18"/>
        <v>-2.41</v>
      </c>
      <c r="AE22" s="154">
        <f t="shared" si="19"/>
        <v>0</v>
      </c>
      <c r="AF22" s="154">
        <f t="shared" si="20"/>
        <v>0</v>
      </c>
      <c r="AG22" s="154">
        <f t="shared" si="21"/>
        <v>0</v>
      </c>
      <c r="AH22" s="154">
        <f t="shared" si="22"/>
        <v>-0.01</v>
      </c>
      <c r="AI22" s="154">
        <f t="shared" si="23"/>
        <v>-0.07</v>
      </c>
      <c r="AJ22" s="154">
        <f t="shared" si="24"/>
        <v>0</v>
      </c>
      <c r="AK22" s="157">
        <f t="shared" si="10"/>
        <v>-5.120000000000001</v>
      </c>
      <c r="AM22" s="78" t="s">
        <v>13</v>
      </c>
      <c r="AN22" s="709" t="s">
        <v>122</v>
      </c>
      <c r="AO22" s="154"/>
      <c r="AP22" s="154"/>
      <c r="AQ22" s="154"/>
      <c r="AR22" s="154"/>
      <c r="AS22" s="154"/>
      <c r="AT22" s="154"/>
      <c r="AU22" s="154"/>
      <c r="AV22" s="154"/>
      <c r="AW22" s="154"/>
      <c r="AX22" s="157">
        <f>SUM(AN22:AW22)</f>
        <v>0</v>
      </c>
      <c r="AZ22" s="4"/>
      <c r="BA22" s="241"/>
      <c r="BI22" s="252"/>
      <c r="BJ22" s="252"/>
    </row>
    <row r="23" spans="1:62" ht="14.25">
      <c r="A23" s="48" t="s">
        <v>10</v>
      </c>
      <c r="B23" s="258">
        <v>-144.41</v>
      </c>
      <c r="C23" s="258"/>
      <c r="D23" s="258">
        <v>-13.69</v>
      </c>
      <c r="E23" s="258">
        <v>-84.17</v>
      </c>
      <c r="F23" s="258">
        <v>-227.77</v>
      </c>
      <c r="G23" s="258">
        <v>-44.27</v>
      </c>
      <c r="H23" s="258">
        <v>-19.74</v>
      </c>
      <c r="I23" s="258">
        <v>-21.11</v>
      </c>
      <c r="J23" s="49">
        <v>242.36</v>
      </c>
      <c r="K23" s="87">
        <v>-0.09</v>
      </c>
      <c r="L23" s="55">
        <v>-312.89</v>
      </c>
      <c r="N23" s="3" t="s">
        <v>10</v>
      </c>
      <c r="O23" s="24">
        <v>0</v>
      </c>
      <c r="P23" s="24">
        <v>0</v>
      </c>
      <c r="Q23" s="24">
        <v>0</v>
      </c>
      <c r="R23" s="24">
        <v>0</v>
      </c>
      <c r="S23" s="24">
        <v>0</v>
      </c>
      <c r="T23" s="24">
        <v>0</v>
      </c>
      <c r="U23" s="24">
        <v>0</v>
      </c>
      <c r="V23" s="24">
        <v>0</v>
      </c>
      <c r="W23" s="280">
        <v>0</v>
      </c>
      <c r="X23" s="280">
        <v>0</v>
      </c>
      <c r="Y23" s="32"/>
      <c r="Z23" s="3" t="s">
        <v>10</v>
      </c>
      <c r="AA23" s="154">
        <f t="shared" si="15"/>
        <v>-144.41</v>
      </c>
      <c r="AB23" s="154">
        <f t="shared" si="16"/>
        <v>0</v>
      </c>
      <c r="AC23" s="154">
        <f t="shared" si="17"/>
        <v>-13.69</v>
      </c>
      <c r="AD23" s="154">
        <f t="shared" si="18"/>
        <v>-84.17</v>
      </c>
      <c r="AE23" s="154">
        <f t="shared" si="19"/>
        <v>-227.77</v>
      </c>
      <c r="AF23" s="154">
        <f t="shared" si="20"/>
        <v>-44.27</v>
      </c>
      <c r="AG23" s="154">
        <f t="shared" si="21"/>
        <v>-19.74</v>
      </c>
      <c r="AH23" s="262">
        <f t="shared" si="22"/>
        <v>-21.11</v>
      </c>
      <c r="AI23" s="1048">
        <f>-(IF($O23&gt;1,($B4*$B23+$O4*($AA23-$B23)),($B4*$AA23))+IF($Q23&gt;1,($D4*$D23+$Q4*($AC23-$D23)),($D4*$AC23))+IF($R23&gt;1,($E4*$E23+$R4*($AD23-$E23)),($E4*$AD23))+IF($S23&gt;1,($F4*$F23+$S4*($AE23-$F23)),($F4*$AE23))+$G4*$AF23+$H4*$AG23+IF($V23&gt;1,($I4*$I23+$V4*($AH23-$I23)),($I4*$AH23)))</f>
        <v>242.34414500000003</v>
      </c>
      <c r="AJ23" s="60">
        <f>K23+X23</f>
        <v>-0.09</v>
      </c>
      <c r="AK23" s="157">
        <f>SUM(AA23:AJ23)</f>
        <v>-312.9058549999999</v>
      </c>
      <c r="AM23" s="78" t="s">
        <v>10</v>
      </c>
      <c r="AN23" s="154">
        <f>-AA23*AN$6</f>
        <v>557.1265595</v>
      </c>
      <c r="AO23" s="154">
        <f aca="true" t="shared" si="31" ref="AO23:AO27">-AB23*AO$6</f>
        <v>0</v>
      </c>
      <c r="AP23" s="154">
        <f aca="true" t="shared" si="32" ref="AP23:AP27">-AC23*AP$6</f>
        <v>42.80821929999999</v>
      </c>
      <c r="AQ23" s="154">
        <f aca="true" t="shared" si="33" ref="AQ23:AQ27">-AD23*AQ$6</f>
        <v>191.41604719999998</v>
      </c>
      <c r="AR23" s="154">
        <f aca="true" t="shared" si="34" ref="AR23:AR27">-AE23*AR$6</f>
        <v>0</v>
      </c>
      <c r="AS23" s="154">
        <f aca="true" t="shared" si="35" ref="AS23:AS27">-AF23*AS$6</f>
        <v>0</v>
      </c>
      <c r="AT23" s="154">
        <f aca="true" t="shared" si="36" ref="AT23:AT27">-AG23*AT$6</f>
        <v>0</v>
      </c>
      <c r="AU23" s="154">
        <f aca="true" t="shared" si="37" ref="AU23:AU27">-AH23*AU$6</f>
        <v>101.15869779999998</v>
      </c>
      <c r="AV23" s="1012">
        <f>-AI23*AV$6</f>
        <v>-892.5095238</v>
      </c>
      <c r="AW23" s="888">
        <f>AJ23*AW$6</f>
        <v>0</v>
      </c>
      <c r="AX23" s="889">
        <f>SUM(AN23:AU23)</f>
        <v>892.5095238</v>
      </c>
      <c r="AY23" s="139">
        <f ca="1">100*AX23/AX$20</f>
        <v>21.194134010092505</v>
      </c>
      <c r="AZ23" s="141" t="s">
        <v>94</v>
      </c>
      <c r="BA23" s="241"/>
      <c r="BB23" s="140"/>
      <c r="BC23" s="94" t="s">
        <v>95</v>
      </c>
      <c r="BF23" s="1048">
        <f>-(IF($O23&gt;1,($B4*$B23+$O4*($AA23-$B23)),($B4*$AA23))+IF($Q23&gt;1,($D4*$D23+$Q4*($AC23-$D23)),($D4*$AC23))+IF($R23&gt;1,($E4*$E23+$R4*($AD23-$E23)),($E4*$AD23))+IF($S23&gt;1,($F4*$F23+$S4*($AE23-$F23)),($F4*$AE23))+$G4*$AF23+$H4*$AG23)</f>
        <v>235.58894500000002</v>
      </c>
      <c r="BG23" s="60"/>
      <c r="BI23" s="1012">
        <f>-BF23*BI$6</f>
        <v>-791.350826</v>
      </c>
      <c r="BJ23" s="888">
        <f>AW23*BJ$6</f>
        <v>0</v>
      </c>
    </row>
    <row r="24" spans="1:62" ht="12.75">
      <c r="A24" s="48" t="s">
        <v>11</v>
      </c>
      <c r="B24" s="60">
        <v>-62.25</v>
      </c>
      <c r="D24" s="60">
        <v>-10.1</v>
      </c>
      <c r="E24" s="60">
        <v>-59.96</v>
      </c>
      <c r="F24" s="60">
        <v>-2.68</v>
      </c>
      <c r="G24" s="60"/>
      <c r="H24" s="60">
        <v>-1.03</v>
      </c>
      <c r="I24" s="61">
        <v>-19.66</v>
      </c>
      <c r="J24" s="53">
        <v>55.27</v>
      </c>
      <c r="K24" s="49">
        <v>40.44</v>
      </c>
      <c r="L24" s="55">
        <v>-59.96</v>
      </c>
      <c r="N24" s="3" t="s">
        <v>11</v>
      </c>
      <c r="O24" s="24">
        <v>0</v>
      </c>
      <c r="P24" s="24">
        <v>0</v>
      </c>
      <c r="Q24" s="24">
        <v>0</v>
      </c>
      <c r="R24" s="24">
        <v>0</v>
      </c>
      <c r="S24" s="24">
        <v>0</v>
      </c>
      <c r="T24" s="24">
        <v>0</v>
      </c>
      <c r="U24" s="24">
        <v>0</v>
      </c>
      <c r="V24" s="24">
        <v>0</v>
      </c>
      <c r="W24" s="280">
        <v>0</v>
      </c>
      <c r="X24" s="280">
        <v>0</v>
      </c>
      <c r="Y24" s="32"/>
      <c r="Z24" s="3" t="s">
        <v>11</v>
      </c>
      <c r="AA24" s="154">
        <f t="shared" si="15"/>
        <v>-62.25</v>
      </c>
      <c r="AB24" s="154">
        <f t="shared" si="16"/>
        <v>0</v>
      </c>
      <c r="AC24" s="154">
        <f t="shared" si="17"/>
        <v>-10.1</v>
      </c>
      <c r="AD24" s="154">
        <f t="shared" si="18"/>
        <v>-59.96</v>
      </c>
      <c r="AE24" s="154">
        <f t="shared" si="19"/>
        <v>-2.68</v>
      </c>
      <c r="AF24" s="154">
        <f t="shared" si="20"/>
        <v>0</v>
      </c>
      <c r="AG24" s="154">
        <f t="shared" si="21"/>
        <v>-1.03</v>
      </c>
      <c r="AH24" s="262">
        <f t="shared" si="22"/>
        <v>-19.66</v>
      </c>
      <c r="AI24" s="1048">
        <f>-(IF($O24&gt;1,($B5*$B24+O5*($AA24-$B24)),($B5*$AA24))+IF($Q24&gt;1,($D5*$D24+$Q5*($AC24-$D24)),($D5*$AC24))+IF($R24&gt;1,($E5*$E24+$R5*($AD24-$E24)),($E5*$AD24))+IF($S24&gt;1,($F5*$F24+$S5*($AE24-$F24)),($F5*$AE24))+$AG24*$U5+IF($V24&gt;1,($I5*$I24+$V5*($AH24-$I24)),($I5*$AH24)))</f>
        <v>55.24775</v>
      </c>
      <c r="AJ24" s="1048">
        <f>-(IF($O24&gt;1,($B6*$B24+$O6*($AA24-$B24)),($B6*$AA24))+IF($Q24&gt;1,($D6*$D24+$Q6*($AC24-$D24)),($D6*$AC24))+IF($R24&gt;1,($E6*$E24+$R6*($AD24-$E24)),($E6*$AD24))+IF($S24&gt;1,($F6*$F24+$S6*($AE24-$F24)),($F6*$AE24))*$AG24*$U6+IF($V24&gt;1,($I6*$I24+$V6*($AH24-$I24)),($I6*$AH24)))</f>
        <v>40.482946000000005</v>
      </c>
      <c r="AK24" s="157">
        <f>SUM(AA24:AJ24)</f>
        <v>-59.949304000000005</v>
      </c>
      <c r="AM24" s="78" t="s">
        <v>11</v>
      </c>
      <c r="AN24" s="154">
        <f aca="true" t="shared" si="38" ref="AN24:AN27">-AA24*AN$6</f>
        <v>240.1573875</v>
      </c>
      <c r="AO24" s="154">
        <f t="shared" si="31"/>
        <v>0</v>
      </c>
      <c r="AP24" s="154">
        <f t="shared" si="32"/>
        <v>31.582396999999993</v>
      </c>
      <c r="AQ24" s="154">
        <f t="shared" si="33"/>
        <v>136.3586336</v>
      </c>
      <c r="AR24" s="154">
        <f t="shared" si="34"/>
        <v>0</v>
      </c>
      <c r="AS24" s="154">
        <f t="shared" si="35"/>
        <v>0</v>
      </c>
      <c r="AT24" s="154">
        <f t="shared" si="36"/>
        <v>0</v>
      </c>
      <c r="AU24" s="154">
        <f t="shared" si="37"/>
        <v>94.21032679999999</v>
      </c>
      <c r="AV24" s="1012">
        <f>-AI24*AV$7</f>
        <v>-289.8905901723411</v>
      </c>
      <c r="AW24" s="1012">
        <f>-AJ24*AW7</f>
        <v>-212.41815472765887</v>
      </c>
      <c r="AX24" s="889">
        <f>SUM(AN24:AU24)</f>
        <v>502.30874489999997</v>
      </c>
      <c r="AY24" s="139">
        <f aca="true" t="shared" si="39" ref="AY24:AY25">100*AX24/AX$20</f>
        <v>11.928162747804583</v>
      </c>
      <c r="AZ24" s="141" t="s">
        <v>94</v>
      </c>
      <c r="BA24" s="241"/>
      <c r="BB24" s="140"/>
      <c r="BC24" s="94" t="s">
        <v>95</v>
      </c>
      <c r="BF24" s="1048">
        <f>-(IF($O24&gt;1,($B5*$B24+AL5*($AA24-$B24)),($B5*$AA24))+IF($Q24&gt;1,($D5*$D24+$Q5*($AC24-$D24)),($D5*$AC24))+IF($R24&gt;1,($E5*$E24+$R5*($AD24-$E24)),($E5*$AD24))+IF($S24&gt;1,($F5*$F24+$S5*($AE24-$F24)),($F5*$AE24))+$AG24*$U5)</f>
        <v>49.74295</v>
      </c>
      <c r="BG24" s="1048">
        <f>-(IF($O24&gt;1,($B6*$B24+$O6*($AA24-$B24)),($B6*$AA24))+IF($Q24&gt;1,($D6*$D24+$Q6*($AC24-$D24)),($D6*$AC24))+IF($R24&gt;1,($E6*$E24+$R6*($AD24-$E24)),($E6*$AD24))+IF($S24&gt;1,($F6*$F24+$S6*($AE24-$F24)),($F6*$AE24))*$AG24*$U6)</f>
        <v>36.35434600000001</v>
      </c>
      <c r="BI24" s="1012">
        <f>-BF24*BI$7</f>
        <v>-235.7799855482964</v>
      </c>
      <c r="BJ24" s="1012">
        <f>-BG24*BJ7</f>
        <v>-172.31843255170367</v>
      </c>
    </row>
    <row r="25" spans="1:62" ht="13.5" thickBot="1">
      <c r="A25" s="48" t="s">
        <v>12</v>
      </c>
      <c r="B25" s="60">
        <v>-4.45</v>
      </c>
      <c r="C25" s="60"/>
      <c r="D25" s="60">
        <v>-0.93</v>
      </c>
      <c r="E25" s="60">
        <v>-6.68</v>
      </c>
      <c r="F25" s="60"/>
      <c r="G25" s="60"/>
      <c r="H25" s="60">
        <v>-0.14</v>
      </c>
      <c r="I25" s="60">
        <v>-4.29</v>
      </c>
      <c r="J25" s="49">
        <v>-0.24</v>
      </c>
      <c r="K25" s="49">
        <v>13.73</v>
      </c>
      <c r="L25" s="55">
        <v>-3.19</v>
      </c>
      <c r="N25" s="3" t="s">
        <v>12</v>
      </c>
      <c r="O25" s="24">
        <v>0</v>
      </c>
      <c r="P25" s="24">
        <v>0</v>
      </c>
      <c r="Q25" s="24">
        <v>0</v>
      </c>
      <c r="R25" s="24">
        <v>0</v>
      </c>
      <c r="S25" s="24">
        <v>0</v>
      </c>
      <c r="T25" s="24">
        <v>0</v>
      </c>
      <c r="U25" s="24">
        <v>0</v>
      </c>
      <c r="V25" s="24">
        <v>0</v>
      </c>
      <c r="W25" s="280">
        <v>0</v>
      </c>
      <c r="X25" s="280">
        <v>0</v>
      </c>
      <c r="Y25" s="32"/>
      <c r="Z25" s="3" t="s">
        <v>12</v>
      </c>
      <c r="AA25" s="154">
        <f t="shared" si="15"/>
        <v>-4.45</v>
      </c>
      <c r="AB25" s="154">
        <f t="shared" si="16"/>
        <v>0</v>
      </c>
      <c r="AC25" s="154">
        <f t="shared" si="17"/>
        <v>-0.93</v>
      </c>
      <c r="AD25" s="154">
        <f t="shared" si="18"/>
        <v>-6.68</v>
      </c>
      <c r="AE25" s="154">
        <f t="shared" si="19"/>
        <v>0</v>
      </c>
      <c r="AF25" s="154">
        <f t="shared" si="20"/>
        <v>0</v>
      </c>
      <c r="AG25" s="154">
        <f t="shared" si="21"/>
        <v>-0.14</v>
      </c>
      <c r="AH25" s="154">
        <f t="shared" si="22"/>
        <v>-4.29</v>
      </c>
      <c r="AI25" s="258">
        <f>J25+W25</f>
        <v>-0.24</v>
      </c>
      <c r="AJ25" s="1048">
        <f>-(IF($O25&gt;1,($B7*$B25+$O7*($AA25-$B25)),($B7*$AA25))+IF($Q25&gt;1,($D7*$D25+$Q7*($AC25-$D25)),($D7*$AC25))+IF($R25&gt;1,($E7*$E25+$R7*($AD25-$E25)),($E7*$AD25))+IF($S25&gt;1,($F7*$F25+$S7*($AE25-$F25)),($F7*$AE25))+$AG25*$U7+IF($V25&gt;1,($I7*$I25+$V7*($AH25-$I25)),($I7*$AH25)))</f>
        <v>13.767800000000001</v>
      </c>
      <c r="AK25" s="157">
        <f>SUM(AA25:AJ25)</f>
        <v>-2.9621999999999957</v>
      </c>
      <c r="AM25" s="78" t="s">
        <v>12</v>
      </c>
      <c r="AN25" s="154">
        <f t="shared" si="38"/>
        <v>17.1678775</v>
      </c>
      <c r="AO25" s="154">
        <f t="shared" si="31"/>
        <v>0</v>
      </c>
      <c r="AP25" s="154">
        <f t="shared" si="32"/>
        <v>2.9080820999999997</v>
      </c>
      <c r="AQ25" s="154">
        <f t="shared" si="33"/>
        <v>15.191388799999997</v>
      </c>
      <c r="AR25" s="154">
        <f t="shared" si="34"/>
        <v>0</v>
      </c>
      <c r="AS25" s="154">
        <f t="shared" si="35"/>
        <v>0</v>
      </c>
      <c r="AT25" s="154">
        <f t="shared" si="36"/>
        <v>0</v>
      </c>
      <c r="AU25" s="154">
        <f t="shared" si="37"/>
        <v>20.5575942</v>
      </c>
      <c r="AV25" s="888"/>
      <c r="AW25" s="1012">
        <f>-AJ25*AW8</f>
        <v>-55.8249426</v>
      </c>
      <c r="AX25" s="889">
        <f>SUM(AN25:AU25)</f>
        <v>55.8249426</v>
      </c>
      <c r="AY25" s="139">
        <f ca="1" t="shared" si="39"/>
        <v>1.325656794711418</v>
      </c>
      <c r="AZ25" s="141" t="s">
        <v>94</v>
      </c>
      <c r="BA25" s="241"/>
      <c r="BB25" s="140"/>
      <c r="BC25" s="94" t="s">
        <v>95</v>
      </c>
      <c r="BF25" s="258"/>
      <c r="BG25" s="1048">
        <f>-(IF($O25&gt;1,($B7*$B25+$O7*($AA25-$B25)),($B7*$AA25))+IF($Q25&gt;1,($D7*$D25+$Q7*($AC25-$D25)),($D7*$AC25))+IF($R25&gt;1,($E7*$E25+$R7*($AD25-$E25)),($E7*$AD25))+IF($S25&gt;1,($F7*$F25+$S7*($AE25-$F25)),($F7*$AE25))+$AG25*$U7)</f>
        <v>10.6361</v>
      </c>
      <c r="BI25" s="1045"/>
      <c r="BJ25" s="1046">
        <f>-BG25*BJ8</f>
        <v>-35.267348399999996</v>
      </c>
    </row>
    <row r="26" spans="1:62" ht="12.75">
      <c r="A26" s="247" t="s">
        <v>229</v>
      </c>
      <c r="B26" s="254">
        <v>-14.32</v>
      </c>
      <c r="C26" s="254"/>
      <c r="D26" s="254">
        <v>-0.62</v>
      </c>
      <c r="E26" s="254">
        <v>-0.01</v>
      </c>
      <c r="F26" s="254"/>
      <c r="G26" s="254"/>
      <c r="H26" s="254"/>
      <c r="I26" s="254"/>
      <c r="J26" s="49"/>
      <c r="K26" s="49"/>
      <c r="L26" s="55">
        <v>-14.95</v>
      </c>
      <c r="N26" s="706" t="s">
        <v>229</v>
      </c>
      <c r="O26" s="24">
        <v>0</v>
      </c>
      <c r="P26" s="24">
        <v>0</v>
      </c>
      <c r="Q26" s="24">
        <v>0</v>
      </c>
      <c r="R26" s="24">
        <v>0</v>
      </c>
      <c r="S26" s="280">
        <v>0</v>
      </c>
      <c r="T26" s="280">
        <v>0</v>
      </c>
      <c r="U26" s="24">
        <v>0</v>
      </c>
      <c r="V26" s="24">
        <v>0</v>
      </c>
      <c r="W26" s="24">
        <v>0</v>
      </c>
      <c r="X26" s="24">
        <v>0</v>
      </c>
      <c r="Y26" s="32"/>
      <c r="Z26" s="1043" t="s">
        <v>229</v>
      </c>
      <c r="AA26" s="154">
        <f t="shared" si="15"/>
        <v>-14.32</v>
      </c>
      <c r="AB26" s="154">
        <f t="shared" si="16"/>
        <v>0</v>
      </c>
      <c r="AC26" s="154">
        <f t="shared" si="17"/>
        <v>-0.62</v>
      </c>
      <c r="AD26" s="154">
        <f t="shared" si="18"/>
        <v>-0.01</v>
      </c>
      <c r="AE26" s="154">
        <f t="shared" si="19"/>
        <v>0</v>
      </c>
      <c r="AF26" s="154">
        <f t="shared" si="20"/>
        <v>0</v>
      </c>
      <c r="AG26" s="154">
        <f t="shared" si="21"/>
        <v>0</v>
      </c>
      <c r="AH26" s="154">
        <f t="shared" si="22"/>
        <v>0</v>
      </c>
      <c r="AI26" s="154">
        <f aca="true" t="shared" si="40" ref="AI26:AI34">J26+W26</f>
        <v>0</v>
      </c>
      <c r="AJ26" s="154">
        <f aca="true" t="shared" si="41" ref="AJ26:AJ34">K26+X26</f>
        <v>0</v>
      </c>
      <c r="AK26" s="157">
        <f t="shared" si="10"/>
        <v>-14.95</v>
      </c>
      <c r="AM26" s="78" t="s">
        <v>229</v>
      </c>
      <c r="AN26" s="154">
        <f t="shared" si="38"/>
        <v>55.245844</v>
      </c>
      <c r="AO26" s="154">
        <f t="shared" si="31"/>
        <v>0</v>
      </c>
      <c r="AP26" s="154">
        <f t="shared" si="32"/>
        <v>1.9387213999999997</v>
      </c>
      <c r="AQ26" s="154">
        <f t="shared" si="33"/>
        <v>0.022741599999999997</v>
      </c>
      <c r="AR26" s="154">
        <f t="shared" si="34"/>
        <v>0</v>
      </c>
      <c r="AS26" s="154">
        <f t="shared" si="35"/>
        <v>0</v>
      </c>
      <c r="AT26" s="154">
        <f t="shared" si="36"/>
        <v>0</v>
      </c>
      <c r="AU26" s="154">
        <f t="shared" si="37"/>
        <v>0</v>
      </c>
      <c r="AV26" s="154"/>
      <c r="AW26" s="154"/>
      <c r="AX26" s="157">
        <f aca="true" t="shared" si="42" ref="AX26:AX34">SUM(AN26:AW26)</f>
        <v>57.207307</v>
      </c>
      <c r="AY26" s="242">
        <f aca="true" t="shared" si="43" ref="AY26:AY34">100*AX26/AX$20</f>
        <v>1.3584833534910263</v>
      </c>
      <c r="AZ26" s="695" t="s">
        <v>94</v>
      </c>
      <c r="BA26" s="242">
        <f ca="1">100*((SUM(AN26:AQ26)-(BI$26/AV$35)*AV26-(BJ$26/AW$35)*AW26)/AX$19)</f>
        <v>1.5662303323187274</v>
      </c>
      <c r="BB26" s="580" t="s">
        <v>94</v>
      </c>
      <c r="BC26" s="94"/>
      <c r="BI26" s="252">
        <f>BI23+BI24+((BI23+BI24)/(AV23+AV24))*(AV33+AV34)</f>
        <v>-878.0616315870245</v>
      </c>
      <c r="BJ26" s="252">
        <f>BJ24+BJ25+((BJ24+BJ25)/(AW24+AW25))*(AW33+AW34)</f>
        <v>-179.30858599418013</v>
      </c>
    </row>
    <row r="27" spans="1:59" ht="12.75">
      <c r="A27" s="212" t="s">
        <v>14</v>
      </c>
      <c r="B27" s="49">
        <v>-0.17</v>
      </c>
      <c r="C27" s="49"/>
      <c r="D27" s="49">
        <v>-0.2</v>
      </c>
      <c r="E27" s="49">
        <v>0.1</v>
      </c>
      <c r="F27" s="49"/>
      <c r="G27" s="49"/>
      <c r="H27" s="49"/>
      <c r="I27" s="49">
        <v>-0.01</v>
      </c>
      <c r="J27" s="49"/>
      <c r="K27" s="49"/>
      <c r="L27" s="55">
        <v>-0.28</v>
      </c>
      <c r="N27" s="168" t="s">
        <v>14</v>
      </c>
      <c r="O27" s="24">
        <v>0</v>
      </c>
      <c r="P27" s="24">
        <v>0</v>
      </c>
      <c r="Q27" s="24">
        <v>0</v>
      </c>
      <c r="R27" s="24">
        <v>0</v>
      </c>
      <c r="S27" s="280">
        <v>0</v>
      </c>
      <c r="T27" s="280">
        <v>0</v>
      </c>
      <c r="U27" s="24">
        <v>0</v>
      </c>
      <c r="V27" s="24">
        <v>0</v>
      </c>
      <c r="W27" s="24">
        <v>0</v>
      </c>
      <c r="X27" s="24">
        <v>0</v>
      </c>
      <c r="Y27" s="32"/>
      <c r="Z27" s="278" t="s">
        <v>14</v>
      </c>
      <c r="AA27" s="154">
        <f t="shared" si="15"/>
        <v>-0.17</v>
      </c>
      <c r="AB27" s="154">
        <f t="shared" si="16"/>
        <v>0</v>
      </c>
      <c r="AC27" s="154">
        <f t="shared" si="17"/>
        <v>-0.2</v>
      </c>
      <c r="AD27" s="154">
        <f t="shared" si="18"/>
        <v>0.1</v>
      </c>
      <c r="AE27" s="154">
        <f t="shared" si="19"/>
        <v>0</v>
      </c>
      <c r="AF27" s="154">
        <f t="shared" si="20"/>
        <v>0</v>
      </c>
      <c r="AG27" s="154">
        <f t="shared" si="21"/>
        <v>0</v>
      </c>
      <c r="AH27" s="154">
        <f t="shared" si="22"/>
        <v>-0.01</v>
      </c>
      <c r="AI27" s="154">
        <f t="shared" si="40"/>
        <v>0</v>
      </c>
      <c r="AJ27" s="154">
        <f t="shared" si="41"/>
        <v>0</v>
      </c>
      <c r="AK27" s="157">
        <f t="shared" si="10"/>
        <v>-0.28</v>
      </c>
      <c r="AM27" s="78" t="s">
        <v>14</v>
      </c>
      <c r="AN27" s="154">
        <f t="shared" si="38"/>
        <v>0.6558515</v>
      </c>
      <c r="AO27" s="154">
        <f t="shared" si="31"/>
        <v>0</v>
      </c>
      <c r="AP27" s="154">
        <f t="shared" si="32"/>
        <v>0.625394</v>
      </c>
      <c r="AQ27" s="154">
        <f t="shared" si="33"/>
        <v>-0.22741599999999998</v>
      </c>
      <c r="AR27" s="154">
        <f t="shared" si="34"/>
        <v>0</v>
      </c>
      <c r="AS27" s="154">
        <f t="shared" si="35"/>
        <v>0</v>
      </c>
      <c r="AT27" s="154">
        <f t="shared" si="36"/>
        <v>0</v>
      </c>
      <c r="AU27" s="154">
        <f t="shared" si="37"/>
        <v>0.0479198</v>
      </c>
      <c r="AV27" s="154"/>
      <c r="AW27" s="154"/>
      <c r="AX27" s="157">
        <f t="shared" si="42"/>
        <v>1.1017493</v>
      </c>
      <c r="AY27" s="94">
        <f ca="1" t="shared" si="43"/>
        <v>0.02616288306964687</v>
      </c>
      <c r="AZ27" s="4" t="s">
        <v>94</v>
      </c>
      <c r="BA27" s="242">
        <f aca="true" t="shared" si="44" ref="BA27:BA34">100*((SUM(AN27:AQ27)-(BI$26/AV$35)*AV27-(BJ$26/AW$35)*AW27)/AX$19)</f>
        <v>0.028851903970803564</v>
      </c>
      <c r="BB27" t="s">
        <v>94</v>
      </c>
      <c r="BF27" s="252"/>
      <c r="BG27" s="252"/>
    </row>
    <row r="28" spans="1:54" ht="12.75">
      <c r="A28" s="212" t="s">
        <v>232</v>
      </c>
      <c r="B28" s="49"/>
      <c r="C28" s="49">
        <v>-680.54</v>
      </c>
      <c r="D28" s="49">
        <v>674.69</v>
      </c>
      <c r="E28" s="49">
        <v>0</v>
      </c>
      <c r="F28" s="49"/>
      <c r="G28" s="49"/>
      <c r="H28" s="49"/>
      <c r="I28" s="49"/>
      <c r="J28" s="49"/>
      <c r="K28" s="49"/>
      <c r="L28" s="55">
        <v>-5.84</v>
      </c>
      <c r="N28" s="168" t="s">
        <v>15</v>
      </c>
      <c r="O28" s="24">
        <v>0</v>
      </c>
      <c r="P28" s="24">
        <v>0</v>
      </c>
      <c r="Q28" s="24">
        <v>0</v>
      </c>
      <c r="R28" s="24">
        <v>0</v>
      </c>
      <c r="S28" s="280">
        <v>0</v>
      </c>
      <c r="T28" s="280">
        <v>0</v>
      </c>
      <c r="U28" s="24">
        <v>0</v>
      </c>
      <c r="V28" s="24">
        <v>0</v>
      </c>
      <c r="W28" s="24">
        <v>0</v>
      </c>
      <c r="X28" s="24">
        <v>0</v>
      </c>
      <c r="Y28" s="32"/>
      <c r="Z28" s="278" t="s">
        <v>15</v>
      </c>
      <c r="AA28" s="207">
        <f t="shared" si="15"/>
        <v>0</v>
      </c>
      <c r="AB28" s="154">
        <f t="shared" si="16"/>
        <v>-680.54</v>
      </c>
      <c r="AC28" s="154">
        <f t="shared" si="17"/>
        <v>674.69</v>
      </c>
      <c r="AD28" s="154">
        <f t="shared" si="18"/>
        <v>0</v>
      </c>
      <c r="AE28" s="154">
        <f t="shared" si="19"/>
        <v>0</v>
      </c>
      <c r="AF28" s="154">
        <f t="shared" si="20"/>
        <v>0</v>
      </c>
      <c r="AG28" s="154">
        <f t="shared" si="21"/>
        <v>0</v>
      </c>
      <c r="AH28" s="154">
        <f t="shared" si="22"/>
        <v>0</v>
      </c>
      <c r="AI28" s="154">
        <f t="shared" si="40"/>
        <v>0</v>
      </c>
      <c r="AJ28" s="154">
        <f t="shared" si="41"/>
        <v>0</v>
      </c>
      <c r="AK28" s="157">
        <f t="shared" si="10"/>
        <v>-5.849999999999909</v>
      </c>
      <c r="AM28" s="78" t="s">
        <v>15</v>
      </c>
      <c r="AN28" s="207" t="s">
        <v>122</v>
      </c>
      <c r="AO28" s="154"/>
      <c r="AP28" s="154">
        <f>-(AB28+AC28)*AP$6</f>
        <v>18.292774499999712</v>
      </c>
      <c r="AQ28" s="154">
        <f t="shared" si="26"/>
        <v>0</v>
      </c>
      <c r="AR28" s="154">
        <f t="shared" si="27"/>
        <v>0</v>
      </c>
      <c r="AS28" s="154">
        <f t="shared" si="28"/>
        <v>0</v>
      </c>
      <c r="AT28" s="154">
        <f t="shared" si="29"/>
        <v>0</v>
      </c>
      <c r="AU28" s="154">
        <f t="shared" si="30"/>
        <v>0</v>
      </c>
      <c r="AV28" s="154"/>
      <c r="AW28" s="154"/>
      <c r="AX28" s="157">
        <f t="shared" si="42"/>
        <v>18.292774499999712</v>
      </c>
      <c r="AY28" s="94">
        <f ca="1" t="shared" si="43"/>
        <v>0.43439257938526527</v>
      </c>
      <c r="AZ28" s="4" t="s">
        <v>94</v>
      </c>
      <c r="BA28" s="242">
        <f ca="1" t="shared" si="44"/>
        <v>0.5008223562099522</v>
      </c>
      <c r="BB28" t="s">
        <v>94</v>
      </c>
    </row>
    <row r="29" spans="1:54" ht="12.75">
      <c r="A29" s="212" t="s">
        <v>233</v>
      </c>
      <c r="B29" s="49"/>
      <c r="C29" s="49">
        <v>13.56</v>
      </c>
      <c r="D29" s="49">
        <v>-14.03</v>
      </c>
      <c r="E29" s="49"/>
      <c r="F29" s="49"/>
      <c r="G29" s="49"/>
      <c r="H29" s="49"/>
      <c r="I29" s="49"/>
      <c r="J29" s="49"/>
      <c r="K29" s="49"/>
      <c r="L29" s="55">
        <v>-0.47</v>
      </c>
      <c r="N29" s="168" t="s">
        <v>233</v>
      </c>
      <c r="O29" s="24">
        <v>0</v>
      </c>
      <c r="P29" s="24">
        <v>0</v>
      </c>
      <c r="Q29" s="24">
        <v>0</v>
      </c>
      <c r="R29" s="24">
        <v>0</v>
      </c>
      <c r="S29" s="280">
        <v>0</v>
      </c>
      <c r="T29" s="280">
        <v>0</v>
      </c>
      <c r="U29" s="24">
        <v>0</v>
      </c>
      <c r="V29" s="24">
        <v>0</v>
      </c>
      <c r="W29" s="24">
        <v>0</v>
      </c>
      <c r="X29" s="24">
        <v>0</v>
      </c>
      <c r="Y29" s="32"/>
      <c r="Z29" s="278" t="s">
        <v>233</v>
      </c>
      <c r="AA29" s="207">
        <f t="shared" si="15"/>
        <v>0</v>
      </c>
      <c r="AB29" s="154">
        <f t="shared" si="16"/>
        <v>13.56</v>
      </c>
      <c r="AC29" s="154">
        <f t="shared" si="17"/>
        <v>-14.03</v>
      </c>
      <c r="AD29" s="154">
        <f t="shared" si="18"/>
        <v>0</v>
      </c>
      <c r="AE29" s="154">
        <f t="shared" si="19"/>
        <v>0</v>
      </c>
      <c r="AF29" s="154">
        <f t="shared" si="20"/>
        <v>0</v>
      </c>
      <c r="AG29" s="154">
        <f t="shared" si="21"/>
        <v>0</v>
      </c>
      <c r="AH29" s="154">
        <f t="shared" si="22"/>
        <v>0</v>
      </c>
      <c r="AI29" s="154">
        <f t="shared" si="40"/>
        <v>0</v>
      </c>
      <c r="AJ29" s="154">
        <f t="shared" si="41"/>
        <v>0</v>
      </c>
      <c r="AK29" s="157">
        <f t="shared" si="10"/>
        <v>-0.46999999999999886</v>
      </c>
      <c r="AM29" s="78" t="s">
        <v>233</v>
      </c>
      <c r="AN29" s="709" t="s">
        <v>122</v>
      </c>
      <c r="AO29" s="154"/>
      <c r="AP29" s="154">
        <f>-(AB29+AC29)*AP$6</f>
        <v>1.4696758999999961</v>
      </c>
      <c r="AQ29" s="154"/>
      <c r="AR29" s="154"/>
      <c r="AS29" s="154"/>
      <c r="AT29" s="154"/>
      <c r="AU29" s="154"/>
      <c r="AV29" s="154"/>
      <c r="AW29" s="154"/>
      <c r="AX29" s="157">
        <f t="shared" si="42"/>
        <v>1.4696758999999961</v>
      </c>
      <c r="AY29" s="94">
        <f ca="1" t="shared" si="43"/>
        <v>0.0348999166343722</v>
      </c>
      <c r="AZ29" s="4" t="s">
        <v>94</v>
      </c>
      <c r="BA29" s="242">
        <f ca="1" t="shared" si="44"/>
        <v>0.04023700981515908</v>
      </c>
      <c r="BB29" t="s">
        <v>94</v>
      </c>
    </row>
    <row r="30" spans="1:54" ht="12.75">
      <c r="A30" s="212" t="s">
        <v>231</v>
      </c>
      <c r="B30" s="49">
        <v>-2.25</v>
      </c>
      <c r="C30" s="49"/>
      <c r="D30" s="49">
        <v>-0.5</v>
      </c>
      <c r="E30" s="49">
        <v>-0.04</v>
      </c>
      <c r="F30" s="49"/>
      <c r="G30" s="49"/>
      <c r="H30" s="49"/>
      <c r="I30" s="49"/>
      <c r="J30" s="49"/>
      <c r="K30" s="49"/>
      <c r="L30" s="55">
        <v>-2.79</v>
      </c>
      <c r="N30" s="520" t="s">
        <v>231</v>
      </c>
      <c r="O30" s="24">
        <v>0</v>
      </c>
      <c r="P30" s="24">
        <v>0</v>
      </c>
      <c r="Q30" s="24">
        <v>0</v>
      </c>
      <c r="R30" s="24">
        <v>0</v>
      </c>
      <c r="S30" s="280">
        <v>0</v>
      </c>
      <c r="T30" s="280">
        <v>0</v>
      </c>
      <c r="U30" s="24">
        <v>0</v>
      </c>
      <c r="V30" s="24">
        <v>0</v>
      </c>
      <c r="W30" s="24">
        <v>0</v>
      </c>
      <c r="X30" s="24">
        <v>0</v>
      </c>
      <c r="Y30" s="32"/>
      <c r="Z30" s="278" t="s">
        <v>231</v>
      </c>
      <c r="AA30" s="154">
        <f t="shared" si="15"/>
        <v>-2.25</v>
      </c>
      <c r="AB30" s="154">
        <f t="shared" si="16"/>
        <v>0</v>
      </c>
      <c r="AC30" s="154">
        <f t="shared" si="17"/>
        <v>-0.5</v>
      </c>
      <c r="AD30" s="154">
        <f t="shared" si="18"/>
        <v>-0.04</v>
      </c>
      <c r="AE30" s="154">
        <f t="shared" si="19"/>
        <v>0</v>
      </c>
      <c r="AF30" s="154">
        <f t="shared" si="20"/>
        <v>0</v>
      </c>
      <c r="AG30" s="154">
        <f t="shared" si="21"/>
        <v>0</v>
      </c>
      <c r="AH30" s="154">
        <f t="shared" si="22"/>
        <v>0</v>
      </c>
      <c r="AI30" s="154">
        <f t="shared" si="40"/>
        <v>0</v>
      </c>
      <c r="AJ30" s="154">
        <f t="shared" si="41"/>
        <v>0</v>
      </c>
      <c r="AK30" s="157">
        <f t="shared" si="10"/>
        <v>-2.79</v>
      </c>
      <c r="AM30" s="78" t="s">
        <v>16</v>
      </c>
      <c r="AN30" s="154">
        <f>-(AA30+AB30+AC30)*AN$6</f>
        <v>10.6093625</v>
      </c>
      <c r="AO30" s="154">
        <f aca="true" t="shared" si="45" ref="AO30">AB30*AO$6</f>
        <v>0</v>
      </c>
      <c r="AP30" s="154"/>
      <c r="AQ30" s="154"/>
      <c r="AR30" s="154">
        <f t="shared" si="27"/>
        <v>0</v>
      </c>
      <c r="AS30" s="154">
        <f t="shared" si="28"/>
        <v>0</v>
      </c>
      <c r="AT30" s="154">
        <f t="shared" si="29"/>
        <v>0</v>
      </c>
      <c r="AU30" s="154">
        <f t="shared" si="30"/>
        <v>0</v>
      </c>
      <c r="AV30" s="154"/>
      <c r="AW30" s="154"/>
      <c r="AX30" s="157">
        <f t="shared" si="42"/>
        <v>10.6093625</v>
      </c>
      <c r="AY30" s="94">
        <f ca="1" t="shared" si="43"/>
        <v>0.25193708816606136</v>
      </c>
      <c r="AZ30" s="4" t="s">
        <v>94</v>
      </c>
      <c r="BA30" s="242">
        <f ca="1" t="shared" si="44"/>
        <v>0.2904647365076081</v>
      </c>
      <c r="BB30" t="s">
        <v>94</v>
      </c>
    </row>
    <row r="31" spans="1:54" ht="12.75">
      <c r="A31" s="48" t="s">
        <v>17</v>
      </c>
      <c r="B31" s="49">
        <v>-0.71</v>
      </c>
      <c r="C31" s="49">
        <v>0.46</v>
      </c>
      <c r="D31" s="49"/>
      <c r="E31" s="49"/>
      <c r="F31" s="49"/>
      <c r="G31" s="49"/>
      <c r="H31" s="49"/>
      <c r="I31" s="49"/>
      <c r="J31" s="49"/>
      <c r="K31" s="49"/>
      <c r="L31" s="55">
        <v>-0.26</v>
      </c>
      <c r="N31" s="3" t="s">
        <v>17</v>
      </c>
      <c r="O31" s="24">
        <v>0</v>
      </c>
      <c r="P31" s="24">
        <v>0</v>
      </c>
      <c r="Q31" s="24">
        <v>0</v>
      </c>
      <c r="R31" s="24">
        <v>0</v>
      </c>
      <c r="S31" s="280">
        <v>0</v>
      </c>
      <c r="T31" s="280">
        <v>0</v>
      </c>
      <c r="U31" s="24">
        <v>0</v>
      </c>
      <c r="V31" s="24">
        <v>0</v>
      </c>
      <c r="W31" s="24">
        <v>0</v>
      </c>
      <c r="X31" s="24">
        <v>0</v>
      </c>
      <c r="Y31" s="32"/>
      <c r="Z31" s="278" t="s">
        <v>17</v>
      </c>
      <c r="AA31" s="207">
        <f t="shared" si="15"/>
        <v>-0.71</v>
      </c>
      <c r="AB31" s="154">
        <f t="shared" si="16"/>
        <v>0.46</v>
      </c>
      <c r="AC31" s="154">
        <f t="shared" si="17"/>
        <v>0</v>
      </c>
      <c r="AD31" s="154">
        <f t="shared" si="18"/>
        <v>0</v>
      </c>
      <c r="AE31" s="154">
        <f t="shared" si="19"/>
        <v>0</v>
      </c>
      <c r="AF31" s="154">
        <f t="shared" si="20"/>
        <v>0</v>
      </c>
      <c r="AG31" s="154">
        <f t="shared" si="21"/>
        <v>0</v>
      </c>
      <c r="AH31" s="154">
        <f t="shared" si="22"/>
        <v>0</v>
      </c>
      <c r="AI31" s="154">
        <f t="shared" si="40"/>
        <v>0</v>
      </c>
      <c r="AJ31" s="154">
        <f t="shared" si="41"/>
        <v>0</v>
      </c>
      <c r="AK31" s="157">
        <f t="shared" si="10"/>
        <v>-0.24999999999999994</v>
      </c>
      <c r="AM31" s="78" t="s">
        <v>17</v>
      </c>
      <c r="AN31" s="154">
        <f>-(AA31+AB31)*AO$6</f>
        <v>0.7817424999999997</v>
      </c>
      <c r="AO31" s="94"/>
      <c r="AP31" s="154">
        <f aca="true" t="shared" si="46" ref="AP31">AC31*AP$6</f>
        <v>0</v>
      </c>
      <c r="AQ31" s="154">
        <f t="shared" si="26"/>
        <v>0</v>
      </c>
      <c r="AR31" s="154">
        <f t="shared" si="27"/>
        <v>0</v>
      </c>
      <c r="AS31" s="154">
        <f t="shared" si="28"/>
        <v>0</v>
      </c>
      <c r="AT31" s="154">
        <f t="shared" si="29"/>
        <v>0</v>
      </c>
      <c r="AU31" s="154">
        <f t="shared" si="30"/>
        <v>0</v>
      </c>
      <c r="AV31" s="154"/>
      <c r="AW31" s="154"/>
      <c r="AX31" s="157">
        <f>SUM(AN31:AW31)</f>
        <v>0.7817424999999997</v>
      </c>
      <c r="AY31" s="94">
        <f ca="1" t="shared" si="43"/>
        <v>0.01856378544381504</v>
      </c>
      <c r="AZ31" s="4" t="s">
        <v>94</v>
      </c>
      <c r="BA31" s="242">
        <f ca="1" t="shared" si="44"/>
        <v>0.02140266479529743</v>
      </c>
      <c r="BB31" t="s">
        <v>94</v>
      </c>
    </row>
    <row r="32" spans="1:55" ht="12.75">
      <c r="A32" s="48" t="s">
        <v>18</v>
      </c>
      <c r="B32" s="49">
        <v>0.03</v>
      </c>
      <c r="C32" s="49">
        <v>0.14</v>
      </c>
      <c r="D32" s="49">
        <v>-0.09</v>
      </c>
      <c r="E32" s="49">
        <v>-0.43</v>
      </c>
      <c r="F32" s="49"/>
      <c r="G32" s="49"/>
      <c r="H32" s="49"/>
      <c r="I32" s="49">
        <v>-0.11</v>
      </c>
      <c r="J32" s="49"/>
      <c r="K32" s="49">
        <v>-0.34</v>
      </c>
      <c r="L32" s="55">
        <v>-0.81</v>
      </c>
      <c r="N32" s="3" t="s">
        <v>18</v>
      </c>
      <c r="O32" s="24">
        <v>0</v>
      </c>
      <c r="P32" s="24">
        <v>0</v>
      </c>
      <c r="Q32" s="24">
        <v>0</v>
      </c>
      <c r="R32" s="24">
        <v>0</v>
      </c>
      <c r="S32" s="280">
        <v>0</v>
      </c>
      <c r="T32" s="280">
        <v>0</v>
      </c>
      <c r="U32" s="24">
        <v>0</v>
      </c>
      <c r="V32" s="24">
        <v>0</v>
      </c>
      <c r="W32" s="24">
        <v>0</v>
      </c>
      <c r="X32" s="24">
        <v>0</v>
      </c>
      <c r="Y32" s="32"/>
      <c r="Z32" s="3" t="s">
        <v>18</v>
      </c>
      <c r="AA32" s="154">
        <f t="shared" si="15"/>
        <v>0.03</v>
      </c>
      <c r="AB32" s="154">
        <f t="shared" si="16"/>
        <v>0.14</v>
      </c>
      <c r="AC32" s="154">
        <f t="shared" si="17"/>
        <v>-0.09</v>
      </c>
      <c r="AD32" s="154">
        <f t="shared" si="18"/>
        <v>-0.43</v>
      </c>
      <c r="AE32" s="154">
        <f t="shared" si="19"/>
        <v>0</v>
      </c>
      <c r="AF32" s="154">
        <f t="shared" si="20"/>
        <v>0</v>
      </c>
      <c r="AG32" s="154">
        <f t="shared" si="21"/>
        <v>0</v>
      </c>
      <c r="AH32" s="154">
        <f t="shared" si="22"/>
        <v>-0.11</v>
      </c>
      <c r="AI32" s="154">
        <f t="shared" si="40"/>
        <v>0</v>
      </c>
      <c r="AJ32" s="154">
        <f t="shared" si="41"/>
        <v>-0.34</v>
      </c>
      <c r="AK32" s="157">
        <f t="shared" si="10"/>
        <v>-0.8</v>
      </c>
      <c r="AM32" s="78" t="s">
        <v>18</v>
      </c>
      <c r="AN32" s="154">
        <f aca="true" t="shared" si="47" ref="AN32:AN34">-AA32*AN$6</f>
        <v>-0.1157385</v>
      </c>
      <c r="AO32" s="154">
        <f aca="true" t="shared" si="48" ref="AO32:AO34">-AB32*AO$6</f>
        <v>-0.4377758</v>
      </c>
      <c r="AP32" s="154">
        <f aca="true" t="shared" si="49" ref="AP32:AP34">-AC32*AP$6</f>
        <v>0.28142729999999994</v>
      </c>
      <c r="AQ32" s="154">
        <f aca="true" t="shared" si="50" ref="AQ32:AQ34">-AD32*AQ$6</f>
        <v>0.9778887999999999</v>
      </c>
      <c r="AR32" s="154">
        <f aca="true" t="shared" si="51" ref="AR32:AR34">-AE32*AR$6</f>
        <v>0</v>
      </c>
      <c r="AS32" s="154">
        <f aca="true" t="shared" si="52" ref="AS32:AS34">-AF32*AS$6</f>
        <v>0</v>
      </c>
      <c r="AT32" s="154">
        <f aca="true" t="shared" si="53" ref="AT32:AT34">-AG32*AT$6</f>
        <v>0</v>
      </c>
      <c r="AU32" s="154">
        <f aca="true" t="shared" si="54" ref="AU32:AU34">-AH32*AU$6</f>
        <v>0.5271178</v>
      </c>
      <c r="AV32" s="154">
        <f aca="true" t="shared" si="55" ref="AV32">-AI32*AV$6</f>
        <v>0</v>
      </c>
      <c r="AW32" s="154">
        <f aca="true" t="shared" si="56" ref="AW32">-AJ32*AW$6</f>
        <v>0</v>
      </c>
      <c r="AX32" s="157">
        <f t="shared" si="42"/>
        <v>1.2329195999999998</v>
      </c>
      <c r="AY32" s="94">
        <f ca="1" t="shared" si="43"/>
        <v>0.02927774161424544</v>
      </c>
      <c r="AZ32" s="4" t="s">
        <v>94</v>
      </c>
      <c r="BA32" s="242">
        <f ca="1" t="shared" si="44"/>
        <v>0.019323548786611397</v>
      </c>
      <c r="BB32" t="s">
        <v>94</v>
      </c>
      <c r="BC32" t="s">
        <v>106</v>
      </c>
    </row>
    <row r="33" spans="1:55" ht="12.75">
      <c r="A33" s="48" t="s">
        <v>234</v>
      </c>
      <c r="B33" s="49">
        <v>-5.47</v>
      </c>
      <c r="C33" s="49">
        <v>0</v>
      </c>
      <c r="D33" s="49">
        <v>-37.42</v>
      </c>
      <c r="E33" s="49">
        <v>-17.21</v>
      </c>
      <c r="F33" s="49"/>
      <c r="G33" s="49"/>
      <c r="H33" s="49">
        <v>-0.13</v>
      </c>
      <c r="I33" s="49">
        <v>-0.19</v>
      </c>
      <c r="J33" s="49">
        <v>-24.46</v>
      </c>
      <c r="K33" s="49">
        <v>-3.9</v>
      </c>
      <c r="L33" s="55">
        <v>-88.79</v>
      </c>
      <c r="N33" s="3" t="s">
        <v>19</v>
      </c>
      <c r="O33" s="24">
        <v>0</v>
      </c>
      <c r="P33" s="24">
        <v>0</v>
      </c>
      <c r="Q33" s="24">
        <v>0</v>
      </c>
      <c r="R33" s="24">
        <v>0</v>
      </c>
      <c r="S33" s="280">
        <v>0</v>
      </c>
      <c r="T33" s="280">
        <v>0</v>
      </c>
      <c r="U33" s="24">
        <v>0</v>
      </c>
      <c r="V33" s="24">
        <v>0</v>
      </c>
      <c r="W33" s="24">
        <v>0</v>
      </c>
      <c r="X33" s="24">
        <v>0</v>
      </c>
      <c r="Y33" s="32"/>
      <c r="Z33" s="3" t="s">
        <v>19</v>
      </c>
      <c r="AA33" s="154">
        <f t="shared" si="15"/>
        <v>-5.47</v>
      </c>
      <c r="AB33" s="154">
        <f t="shared" si="16"/>
        <v>0</v>
      </c>
      <c r="AC33" s="154">
        <f t="shared" si="17"/>
        <v>-37.42</v>
      </c>
      <c r="AD33" s="154">
        <f t="shared" si="18"/>
        <v>-17.21</v>
      </c>
      <c r="AE33" s="154">
        <f t="shared" si="19"/>
        <v>0</v>
      </c>
      <c r="AF33" s="154">
        <f t="shared" si="20"/>
        <v>0</v>
      </c>
      <c r="AG33" s="154">
        <f t="shared" si="21"/>
        <v>-0.13</v>
      </c>
      <c r="AH33" s="154">
        <f t="shared" si="22"/>
        <v>-0.19</v>
      </c>
      <c r="AI33" s="154">
        <f t="shared" si="40"/>
        <v>-24.46</v>
      </c>
      <c r="AJ33" s="154">
        <f t="shared" si="41"/>
        <v>-3.9</v>
      </c>
      <c r="AK33" s="157">
        <f t="shared" si="10"/>
        <v>-88.78</v>
      </c>
      <c r="AM33" s="78" t="s">
        <v>19</v>
      </c>
      <c r="AN33" s="155">
        <f t="shared" si="47"/>
        <v>21.102986499999997</v>
      </c>
      <c r="AO33" s="156">
        <f t="shared" si="48"/>
        <v>0</v>
      </c>
      <c r="AP33" s="156">
        <f t="shared" si="49"/>
        <v>117.01121739999999</v>
      </c>
      <c r="AQ33" s="156">
        <f t="shared" si="50"/>
        <v>39.1382936</v>
      </c>
      <c r="AR33" s="156">
        <f t="shared" si="51"/>
        <v>0</v>
      </c>
      <c r="AS33" s="156">
        <f t="shared" si="52"/>
        <v>0</v>
      </c>
      <c r="AT33" s="156">
        <f t="shared" si="53"/>
        <v>0</v>
      </c>
      <c r="AU33" s="156">
        <f t="shared" si="54"/>
        <v>0.9104762</v>
      </c>
      <c r="AV33" s="156">
        <f>(AI33/(AI23+AI24))*(AV23+AV24)</f>
        <v>97.18512927834766</v>
      </c>
      <c r="AW33" s="156">
        <f>(AJ33/(AJ24+AJ25))*(AW24+AW25)</f>
        <v>19.283570396946605</v>
      </c>
      <c r="AX33" s="157">
        <f t="shared" si="42"/>
        <v>294.63167337529427</v>
      </c>
      <c r="AY33" s="94">
        <f ca="1">100*AX33/AX$20</f>
        <v>6.996522729020307</v>
      </c>
      <c r="AZ33" s="4" t="s">
        <v>94</v>
      </c>
      <c r="BA33" s="242">
        <f ca="1" t="shared" si="44"/>
        <v>7.572757730430784</v>
      </c>
      <c r="BB33" t="s">
        <v>94</v>
      </c>
      <c r="BC33" t="s">
        <v>107</v>
      </c>
    </row>
    <row r="34" spans="1:56" ht="13.5" thickBot="1">
      <c r="A34" s="54" t="s">
        <v>235</v>
      </c>
      <c r="B34" s="54">
        <v>-0.73</v>
      </c>
      <c r="C34" s="54"/>
      <c r="D34" s="54">
        <v>-0.01</v>
      </c>
      <c r="E34" s="54">
        <v>-2.93</v>
      </c>
      <c r="F34" s="54"/>
      <c r="G34" s="54"/>
      <c r="H34" s="54">
        <v>-0.14</v>
      </c>
      <c r="I34" s="54">
        <v>-0.03</v>
      </c>
      <c r="J34" s="54">
        <v>-18.73</v>
      </c>
      <c r="K34" s="54">
        <v>-3.49</v>
      </c>
      <c r="L34" s="55">
        <v>-26.06</v>
      </c>
      <c r="N34" s="3" t="s">
        <v>20</v>
      </c>
      <c r="O34" s="24">
        <v>0</v>
      </c>
      <c r="P34" s="24">
        <v>0</v>
      </c>
      <c r="Q34" s="24">
        <v>0</v>
      </c>
      <c r="R34" s="24">
        <v>0</v>
      </c>
      <c r="S34" s="280">
        <v>0</v>
      </c>
      <c r="T34" s="280">
        <v>0</v>
      </c>
      <c r="U34" s="24">
        <v>0</v>
      </c>
      <c r="V34" s="24">
        <v>0</v>
      </c>
      <c r="W34" s="24">
        <v>0</v>
      </c>
      <c r="X34" s="24">
        <v>0</v>
      </c>
      <c r="Y34" s="32"/>
      <c r="Z34" s="3" t="s">
        <v>20</v>
      </c>
      <c r="AA34" s="154">
        <f t="shared" si="15"/>
        <v>-0.73</v>
      </c>
      <c r="AB34" s="154">
        <f t="shared" si="16"/>
        <v>0</v>
      </c>
      <c r="AC34" s="154">
        <f t="shared" si="17"/>
        <v>-0.01</v>
      </c>
      <c r="AD34" s="154">
        <f t="shared" si="18"/>
        <v>-2.93</v>
      </c>
      <c r="AE34" s="154">
        <f t="shared" si="19"/>
        <v>0</v>
      </c>
      <c r="AF34" s="154">
        <f t="shared" si="20"/>
        <v>0</v>
      </c>
      <c r="AG34" s="154">
        <f t="shared" si="21"/>
        <v>-0.14</v>
      </c>
      <c r="AH34" s="154">
        <f t="shared" si="22"/>
        <v>-0.03</v>
      </c>
      <c r="AI34" s="154">
        <f t="shared" si="40"/>
        <v>-18.73</v>
      </c>
      <c r="AJ34" s="154">
        <f t="shared" si="41"/>
        <v>-3.49</v>
      </c>
      <c r="AK34" s="157">
        <f t="shared" si="10"/>
        <v>-26.060000000000002</v>
      </c>
      <c r="AM34" s="81" t="s">
        <v>20</v>
      </c>
      <c r="AN34" s="1033">
        <f t="shared" si="47"/>
        <v>2.8163034999999996</v>
      </c>
      <c r="AO34" s="988">
        <f t="shared" si="48"/>
        <v>0</v>
      </c>
      <c r="AP34" s="988">
        <f t="shared" si="49"/>
        <v>0.0312697</v>
      </c>
      <c r="AQ34" s="988">
        <f t="shared" si="50"/>
        <v>6.663288799999999</v>
      </c>
      <c r="AR34" s="988">
        <f t="shared" si="51"/>
        <v>0</v>
      </c>
      <c r="AS34" s="988">
        <f t="shared" si="52"/>
        <v>0</v>
      </c>
      <c r="AT34" s="988">
        <f t="shared" si="53"/>
        <v>0</v>
      </c>
      <c r="AU34" s="988">
        <f t="shared" si="54"/>
        <v>0.14375939999999998</v>
      </c>
      <c r="AV34" s="988">
        <f>(AI34/(AI23+AI24))*(AV23+AV24)</f>
        <v>74.4185393043112</v>
      </c>
      <c r="AW34" s="988">
        <f>(AJ34/(AJ24+AJ25))*(AW24+AW25)</f>
        <v>17.25632325265222</v>
      </c>
      <c r="AX34" s="989">
        <f t="shared" si="42"/>
        <v>101.32948395696341</v>
      </c>
      <c r="AY34" s="94">
        <f ca="1" t="shared" si="43"/>
        <v>2.4062383704475168</v>
      </c>
      <c r="AZ34" s="4" t="s">
        <v>94</v>
      </c>
      <c r="BA34" s="242">
        <f ca="1" t="shared" si="44"/>
        <v>2.39589383254584</v>
      </c>
      <c r="BB34" t="s">
        <v>94</v>
      </c>
      <c r="BC34" s="139">
        <f>-SUM(AV33:AW34)*100/AY16</f>
        <v>-4.934564267195235</v>
      </c>
      <c r="BD34" s="139">
        <f>-SUM(AV33:AW34)*100/BA16</f>
        <v>-5.688695947077854</v>
      </c>
    </row>
    <row r="35" spans="1:54" ht="15.75" thickBot="1">
      <c r="A35" s="3"/>
      <c r="B35" s="102"/>
      <c r="C35" s="102"/>
      <c r="D35" s="102"/>
      <c r="E35" s="102"/>
      <c r="F35" s="102"/>
      <c r="G35" s="102"/>
      <c r="H35" s="102"/>
      <c r="I35" s="102"/>
      <c r="J35" s="102"/>
      <c r="K35" s="102"/>
      <c r="L35" s="86"/>
      <c r="N35" s="8" t="s">
        <v>81</v>
      </c>
      <c r="O35" s="38"/>
      <c r="P35" s="38"/>
      <c r="Q35" s="38"/>
      <c r="R35" s="38"/>
      <c r="S35" s="38"/>
      <c r="T35" s="38"/>
      <c r="U35" s="38"/>
      <c r="V35" s="38"/>
      <c r="W35" s="38"/>
      <c r="X35" s="39"/>
      <c r="Y35" s="32"/>
      <c r="Z35" s="83" t="s">
        <v>65</v>
      </c>
      <c r="AA35" s="159">
        <f aca="true" t="shared" si="57" ref="AA35:AK35">AA19+SUM(AA21:AA34)</f>
        <v>47.52000000000007</v>
      </c>
      <c r="AB35" s="95">
        <f t="shared" si="57"/>
        <v>1.9499999999999318</v>
      </c>
      <c r="AC35" s="95">
        <f t="shared" si="57"/>
        <v>440.4300000000002</v>
      </c>
      <c r="AD35" s="95">
        <f t="shared" si="57"/>
        <v>252.46999999999997</v>
      </c>
      <c r="AE35" s="95">
        <f t="shared" si="57"/>
        <v>0</v>
      </c>
      <c r="AF35" s="95">
        <f t="shared" si="57"/>
        <v>0</v>
      </c>
      <c r="AG35" s="95">
        <f t="shared" si="57"/>
        <v>4.280000000000001</v>
      </c>
      <c r="AH35" s="95">
        <f t="shared" si="57"/>
        <v>71.27999999999999</v>
      </c>
      <c r="AI35" s="95">
        <f t="shared" si="57"/>
        <v>255.11189500000006</v>
      </c>
      <c r="AJ35" s="95">
        <f t="shared" si="57"/>
        <v>46.840745999999996</v>
      </c>
      <c r="AK35" s="158">
        <f t="shared" si="57"/>
        <v>1119.8826410000001</v>
      </c>
      <c r="AM35" s="83" t="s">
        <v>65</v>
      </c>
      <c r="AN35" s="159">
        <f>AN20-SUM(AN23:AN34)</f>
        <v>183.40694299999984</v>
      </c>
      <c r="AO35" s="95">
        <f aca="true" t="shared" si="58" ref="AO35:AU35">AO20-SUM(AO23:AO34)</f>
        <v>6.128861199999999</v>
      </c>
      <c r="AP35" s="95">
        <f ca="1" t="shared" si="58"/>
        <v>1377.555461979081</v>
      </c>
      <c r="AQ35" s="95">
        <f ca="1" t="shared" si="58"/>
        <v>573.6795492297101</v>
      </c>
      <c r="AR35" s="95">
        <f t="shared" si="58"/>
        <v>0</v>
      </c>
      <c r="AS35" s="95">
        <f t="shared" si="58"/>
        <v>0</v>
      </c>
      <c r="AT35" s="95">
        <f t="shared" si="58"/>
        <v>0</v>
      </c>
      <c r="AU35" s="95">
        <f ca="1" t="shared" si="58"/>
        <v>341.01238800466524</v>
      </c>
      <c r="AV35" s="95">
        <f>-SUM(AV21:AV34)</f>
        <v>1010.7964453896823</v>
      </c>
      <c r="AW35" s="95">
        <f>-SUM(AW21:AW34)</f>
        <v>231.70320367806005</v>
      </c>
      <c r="AX35" s="158">
        <f ca="1">AX20-SUM(AX26:AX34)</f>
        <v>3724.459101118779</v>
      </c>
      <c r="AY35" s="1047">
        <f ca="1">100*SUM(AX26:AX34)/AX$20</f>
        <v>11.556478447272255</v>
      </c>
      <c r="AZ35" s="831" t="s">
        <v>94</v>
      </c>
      <c r="BA35" s="243">
        <f ca="1">SUM(BA26:BA34)</f>
        <v>12.435984115380782</v>
      </c>
      <c r="BB35" s="91" t="s">
        <v>94</v>
      </c>
    </row>
    <row r="36" spans="1:54" s="10" customFormat="1" ht="15.75" thickBot="1">
      <c r="A36" s="50" t="s">
        <v>21</v>
      </c>
      <c r="B36" s="51">
        <f>48.64-B18</f>
        <v>49.75</v>
      </c>
      <c r="C36" s="51">
        <f>4.35-2.39</f>
        <v>1.9599999999999995</v>
      </c>
      <c r="D36" s="51">
        <f>533.21+D18</f>
        <v>440.43000000000006</v>
      </c>
      <c r="E36" s="51">
        <f>263.33-E18</f>
        <v>274.35999999999996</v>
      </c>
      <c r="F36" s="51"/>
      <c r="G36" s="51"/>
      <c r="H36" s="51">
        <v>4.28</v>
      </c>
      <c r="I36" s="51">
        <v>71.2</v>
      </c>
      <c r="J36" s="51">
        <v>255.22</v>
      </c>
      <c r="K36" s="51">
        <v>46.76</v>
      </c>
      <c r="L36" s="52">
        <v>1226.98</v>
      </c>
      <c r="M36" s="31"/>
      <c r="N36" s="8" t="s">
        <v>82</v>
      </c>
      <c r="O36" s="9"/>
      <c r="P36" s="9"/>
      <c r="Q36" s="9"/>
      <c r="R36" s="9"/>
      <c r="S36" s="9"/>
      <c r="T36" s="9"/>
      <c r="U36" s="9"/>
      <c r="V36" s="9"/>
      <c r="W36" s="9"/>
      <c r="X36" s="9"/>
      <c r="Y36" s="30"/>
      <c r="Z36" s="8" t="s">
        <v>63</v>
      </c>
      <c r="AA36" s="95">
        <f aca="true" t="shared" si="59" ref="AA36:AK36">AA37+AA51+AA68</f>
        <v>47.540000000000006</v>
      </c>
      <c r="AB36" s="95">
        <f t="shared" si="59"/>
        <v>1.96</v>
      </c>
      <c r="AC36" s="95">
        <f ca="1" t="shared" si="59"/>
        <v>440.5400313975129</v>
      </c>
      <c r="AD36" s="95">
        <f ca="1" t="shared" si="59"/>
        <v>252.2599769715896</v>
      </c>
      <c r="AE36" s="95">
        <f t="shared" si="59"/>
        <v>0</v>
      </c>
      <c r="AF36" s="95">
        <f t="shared" si="59"/>
        <v>0</v>
      </c>
      <c r="AG36" s="95">
        <f t="shared" si="59"/>
        <v>4.27</v>
      </c>
      <c r="AH36" s="95">
        <f ca="1" t="shared" si="59"/>
        <v>71.1631492628653</v>
      </c>
      <c r="AI36" s="95">
        <f ca="1" t="shared" si="59"/>
        <v>255.2465752112539</v>
      </c>
      <c r="AJ36" s="95">
        <f t="shared" si="59"/>
        <v>46.769999999999996</v>
      </c>
      <c r="AK36" s="95">
        <f ca="1" t="shared" si="59"/>
        <v>1119.7497328432219</v>
      </c>
      <c r="AL36" s="239"/>
      <c r="AM36" s="240" t="s">
        <v>63</v>
      </c>
      <c r="AN36" s="102">
        <f aca="true" t="shared" si="60" ref="AN36:AW36">AN37+AN51+AN68</f>
        <v>183.40694299999996</v>
      </c>
      <c r="AO36" s="102">
        <f t="shared" si="60"/>
        <v>6.128861199999999</v>
      </c>
      <c r="AP36" s="102">
        <f ca="1" t="shared" si="60"/>
        <v>1377.555461979081</v>
      </c>
      <c r="AQ36" s="102">
        <f ca="1" t="shared" si="60"/>
        <v>573.6795492297101</v>
      </c>
      <c r="AR36" s="102">
        <f t="shared" si="60"/>
        <v>0</v>
      </c>
      <c r="AS36" s="102">
        <f t="shared" si="60"/>
        <v>0</v>
      </c>
      <c r="AT36" s="102">
        <f t="shared" si="60"/>
        <v>0</v>
      </c>
      <c r="AU36" s="102">
        <f ca="1" t="shared" si="60"/>
        <v>341.01238800466524</v>
      </c>
      <c r="AV36" s="102">
        <f ca="1" t="shared" si="60"/>
        <v>1011.3226473531</v>
      </c>
      <c r="AW36" s="102">
        <f t="shared" si="60"/>
        <v>231.35325035222257</v>
      </c>
      <c r="AX36" s="102">
        <f ca="1">AX37+AX51+AX68</f>
        <v>3724.4591011187795</v>
      </c>
      <c r="AY36" s="827"/>
      <c r="AZ36" s="144"/>
      <c r="BA36" s="246"/>
      <c r="BB36" s="135"/>
    </row>
    <row r="37" spans="1:54" ht="17.25" customHeight="1">
      <c r="A37" s="55" t="s">
        <v>22</v>
      </c>
      <c r="B37" s="56">
        <v>28.44</v>
      </c>
      <c r="C37" s="56">
        <v>1.96</v>
      </c>
      <c r="D37" s="56">
        <v>36.11</v>
      </c>
      <c r="E37" s="56">
        <v>76.06</v>
      </c>
      <c r="F37" s="56"/>
      <c r="G37" s="56"/>
      <c r="H37" s="56">
        <v>0.03</v>
      </c>
      <c r="I37" s="56">
        <v>22.18</v>
      </c>
      <c r="J37" s="56">
        <v>94.02</v>
      </c>
      <c r="K37" s="56">
        <v>15.27</v>
      </c>
      <c r="L37" s="55">
        <v>274.08</v>
      </c>
      <c r="N37" s="5" t="s">
        <v>22</v>
      </c>
      <c r="O37" s="11"/>
      <c r="P37" s="11"/>
      <c r="Q37" s="273"/>
      <c r="R37" s="273"/>
      <c r="S37" s="273"/>
      <c r="T37" s="273"/>
      <c r="U37" s="273"/>
      <c r="V37" s="273"/>
      <c r="W37" s="273"/>
      <c r="X37" s="11"/>
      <c r="Y37" s="33"/>
      <c r="Z37" s="5" t="s">
        <v>22</v>
      </c>
      <c r="AA37" s="160">
        <f>SUM(AA38:AA50)</f>
        <v>28.450000000000003</v>
      </c>
      <c r="AB37" s="160">
        <f>SUM(AB38:AB50)</f>
        <v>1.96</v>
      </c>
      <c r="AC37" s="160">
        <f aca="true" t="shared" si="61" ref="AC37:AK37">SUM(AC38:AC50)</f>
        <v>36.12</v>
      </c>
      <c r="AD37" s="160">
        <f t="shared" si="61"/>
        <v>76.06</v>
      </c>
      <c r="AE37" s="160">
        <f t="shared" si="61"/>
        <v>0</v>
      </c>
      <c r="AF37" s="160">
        <f t="shared" si="61"/>
        <v>0</v>
      </c>
      <c r="AG37" s="160">
        <f t="shared" si="61"/>
        <v>0.03</v>
      </c>
      <c r="AH37" s="160">
        <f t="shared" si="61"/>
        <v>22.18</v>
      </c>
      <c r="AI37" s="160">
        <f t="shared" si="61"/>
        <v>94.02</v>
      </c>
      <c r="AJ37" s="160">
        <f t="shared" si="61"/>
        <v>15.28</v>
      </c>
      <c r="AK37" s="157">
        <f t="shared" si="61"/>
        <v>274.1</v>
      </c>
      <c r="AM37" s="77" t="s">
        <v>22</v>
      </c>
      <c r="AN37" s="160">
        <f aca="true" t="shared" si="62" ref="AN37:AW37">SUM(AN38:AN50)</f>
        <v>109.75867749999999</v>
      </c>
      <c r="AO37" s="160">
        <f t="shared" si="62"/>
        <v>6.128861199999999</v>
      </c>
      <c r="AP37" s="160">
        <f t="shared" si="62"/>
        <v>112.94615639999998</v>
      </c>
      <c r="AQ37" s="160">
        <f t="shared" si="62"/>
        <v>172.97260959999994</v>
      </c>
      <c r="AR37" s="160">
        <f t="shared" si="62"/>
        <v>0</v>
      </c>
      <c r="AS37" s="160">
        <f t="shared" si="62"/>
        <v>0</v>
      </c>
      <c r="AT37" s="160">
        <f t="shared" si="62"/>
        <v>0</v>
      </c>
      <c r="AU37" s="160">
        <f t="shared" si="62"/>
        <v>106.2861164</v>
      </c>
      <c r="AV37" s="160">
        <f t="shared" si="62"/>
        <v>372.5231306660079</v>
      </c>
      <c r="AW37" s="160">
        <f t="shared" si="62"/>
        <v>75.58429902463033</v>
      </c>
      <c r="AX37" s="157">
        <f>SUM(AX38:AX50)</f>
        <v>956.1998507906383</v>
      </c>
      <c r="AY37" s="243">
        <f ca="1">100*AX37/AX$20</f>
        <v>22.706567535327004</v>
      </c>
      <c r="AZ37" s="4" t="s">
        <v>94</v>
      </c>
      <c r="BA37" s="243">
        <f ca="1">SUM(BA38:BA50)</f>
        <v>21.461825023533553</v>
      </c>
      <c r="BB37" t="s">
        <v>94</v>
      </c>
    </row>
    <row r="38" spans="1:54" ht="12.75">
      <c r="A38" s="48" t="s">
        <v>23</v>
      </c>
      <c r="B38" s="49">
        <v>11.93</v>
      </c>
      <c r="C38" s="49"/>
      <c r="D38" s="49">
        <v>1.53</v>
      </c>
      <c r="E38" s="49">
        <v>6.93</v>
      </c>
      <c r="F38" s="49"/>
      <c r="G38" s="49"/>
      <c r="H38" s="49"/>
      <c r="I38" s="49">
        <v>0.04</v>
      </c>
      <c r="J38" s="49">
        <v>10.6</v>
      </c>
      <c r="K38" s="49">
        <v>0.53</v>
      </c>
      <c r="L38" s="55">
        <v>31.56</v>
      </c>
      <c r="N38" s="3" t="s">
        <v>23</v>
      </c>
      <c r="O38" s="24">
        <v>0</v>
      </c>
      <c r="P38" s="24">
        <v>0</v>
      </c>
      <c r="Q38" s="24">
        <v>0</v>
      </c>
      <c r="R38" s="24">
        <v>0</v>
      </c>
      <c r="S38" s="280">
        <v>0</v>
      </c>
      <c r="T38" s="280">
        <v>0</v>
      </c>
      <c r="U38" s="24">
        <v>0</v>
      </c>
      <c r="V38" s="24">
        <v>0</v>
      </c>
      <c r="W38" s="24">
        <v>0</v>
      </c>
      <c r="X38" s="24">
        <v>0</v>
      </c>
      <c r="Y38" s="29"/>
      <c r="Z38" s="3" t="s">
        <v>23</v>
      </c>
      <c r="AA38" s="154">
        <f aca="true" t="shared" si="63" ref="AA38:AA50">B38+O38</f>
        <v>11.93</v>
      </c>
      <c r="AB38" s="154">
        <f aca="true" t="shared" si="64" ref="AB38:AB50">C38+P38</f>
        <v>0</v>
      </c>
      <c r="AC38" s="154">
        <f aca="true" t="shared" si="65" ref="AC38:AC50">D38+Q38</f>
        <v>1.53</v>
      </c>
      <c r="AD38" s="154">
        <f aca="true" t="shared" si="66" ref="AD38:AD50">E38+R38</f>
        <v>6.93</v>
      </c>
      <c r="AE38" s="154">
        <f aca="true" t="shared" si="67" ref="AE38:AE50">F38+S38</f>
        <v>0</v>
      </c>
      <c r="AF38" s="154">
        <f aca="true" t="shared" si="68" ref="AF38:AF50">G38+T38</f>
        <v>0</v>
      </c>
      <c r="AG38" s="154">
        <f aca="true" t="shared" si="69" ref="AG38:AG50">H38+U38</f>
        <v>0</v>
      </c>
      <c r="AH38" s="154">
        <f aca="true" t="shared" si="70" ref="AH38:AH50">I38+V38</f>
        <v>0.04</v>
      </c>
      <c r="AI38" s="154">
        <f aca="true" t="shared" si="71" ref="AI38:AI50">J38+W38</f>
        <v>10.6</v>
      </c>
      <c r="AJ38" s="154">
        <f aca="true" t="shared" si="72" ref="AJ38:AJ50">K38+X38</f>
        <v>0.53</v>
      </c>
      <c r="AK38" s="157">
        <f t="shared" si="10"/>
        <v>31.560000000000002</v>
      </c>
      <c r="AM38" s="78" t="s">
        <v>23</v>
      </c>
      <c r="AN38" s="154">
        <f aca="true" t="shared" si="73" ref="AN38:AN50">AA38*AN$6</f>
        <v>46.0253435</v>
      </c>
      <c r="AO38" s="154">
        <f aca="true" t="shared" si="74" ref="AO38:AO50">AB38*AO$6</f>
        <v>0</v>
      </c>
      <c r="AP38" s="154">
        <f aca="true" t="shared" si="75" ref="AP38:AP50">AC38*AP$6</f>
        <v>4.7842641</v>
      </c>
      <c r="AQ38" s="154">
        <f aca="true" t="shared" si="76" ref="AQ38:AQ50">AD38*AQ$6</f>
        <v>15.759928799999997</v>
      </c>
      <c r="AR38" s="154">
        <f aca="true" t="shared" si="77" ref="AR38:AR50">AE38*AR$6</f>
        <v>0</v>
      </c>
      <c r="AS38" s="154">
        <f aca="true" t="shared" si="78" ref="AS38:AS50">AF38*AS$6</f>
        <v>0</v>
      </c>
      <c r="AT38" s="154">
        <f aca="true" t="shared" si="79" ref="AT38:AT50">AG38*AT$6</f>
        <v>0</v>
      </c>
      <c r="AU38" s="154">
        <f aca="true" t="shared" si="80" ref="AU38:AU50">AH38*AU$6</f>
        <v>0.1916792</v>
      </c>
      <c r="AV38" s="154">
        <f>AV$35*AI38/AI$35</f>
        <v>41.99899154498707</v>
      </c>
      <c r="AW38" s="154">
        <f aca="true" t="shared" si="81" ref="AW38:AW50">AW$35*AJ38/AJ$35</f>
        <v>2.6217067070061577</v>
      </c>
      <c r="AX38" s="157">
        <f aca="true" t="shared" si="82" ref="AX38:AX50">SUM(AN38:AW38)</f>
        <v>111.38191385199323</v>
      </c>
      <c r="AY38" s="94">
        <f ca="1">100*AX38/AX$20</f>
        <v>2.644950160788103</v>
      </c>
      <c r="AZ38" s="4" t="s">
        <v>94</v>
      </c>
      <c r="BA38" s="242">
        <f ca="1">100*((SUM(AN38:AQ38)-(BI$26/AV$35)*AV38-(BJ$26/AW$35)*AW38)/AX$19)</f>
        <v>2.8769566647295464</v>
      </c>
      <c r="BB38" t="s">
        <v>94</v>
      </c>
    </row>
    <row r="39" spans="1:54" ht="12.75">
      <c r="A39" s="48" t="s">
        <v>24</v>
      </c>
      <c r="B39" s="49">
        <v>3.07</v>
      </c>
      <c r="C39" s="49">
        <v>1.96</v>
      </c>
      <c r="D39" s="49">
        <v>6.04</v>
      </c>
      <c r="E39" s="49">
        <v>16.33</v>
      </c>
      <c r="F39" s="49"/>
      <c r="G39" s="49"/>
      <c r="H39" s="49">
        <v>0</v>
      </c>
      <c r="I39" s="49">
        <v>0.98</v>
      </c>
      <c r="J39" s="49">
        <v>15.73</v>
      </c>
      <c r="K39" s="49">
        <v>6.53</v>
      </c>
      <c r="L39" s="55">
        <v>50.63</v>
      </c>
      <c r="N39" s="3" t="s">
        <v>24</v>
      </c>
      <c r="O39" s="24">
        <v>0</v>
      </c>
      <c r="P39" s="24">
        <v>0</v>
      </c>
      <c r="Q39" s="24">
        <v>0</v>
      </c>
      <c r="R39" s="24">
        <v>0</v>
      </c>
      <c r="S39" s="280">
        <v>0</v>
      </c>
      <c r="T39" s="280">
        <v>0</v>
      </c>
      <c r="U39" s="24">
        <v>0</v>
      </c>
      <c r="V39" s="24">
        <v>0</v>
      </c>
      <c r="W39" s="24">
        <v>0</v>
      </c>
      <c r="X39" s="24">
        <v>0</v>
      </c>
      <c r="Y39" s="29"/>
      <c r="Z39" s="3" t="s">
        <v>24</v>
      </c>
      <c r="AA39" s="154">
        <f t="shared" si="63"/>
        <v>3.07</v>
      </c>
      <c r="AB39" s="154">
        <f t="shared" si="64"/>
        <v>1.96</v>
      </c>
      <c r="AC39" s="154">
        <f t="shared" si="65"/>
        <v>6.04</v>
      </c>
      <c r="AD39" s="154">
        <f t="shared" si="66"/>
        <v>16.33</v>
      </c>
      <c r="AE39" s="154">
        <f t="shared" si="67"/>
        <v>0</v>
      </c>
      <c r="AF39" s="154">
        <f t="shared" si="68"/>
        <v>0</v>
      </c>
      <c r="AG39" s="154">
        <f t="shared" si="69"/>
        <v>0</v>
      </c>
      <c r="AH39" s="154">
        <f t="shared" si="70"/>
        <v>0.98</v>
      </c>
      <c r="AI39" s="154">
        <f t="shared" si="71"/>
        <v>15.73</v>
      </c>
      <c r="AJ39" s="154">
        <f t="shared" si="72"/>
        <v>6.53</v>
      </c>
      <c r="AK39" s="157">
        <f t="shared" si="10"/>
        <v>50.64</v>
      </c>
      <c r="AM39" s="78" t="s">
        <v>24</v>
      </c>
      <c r="AN39" s="154">
        <f t="shared" si="73"/>
        <v>11.8439065</v>
      </c>
      <c r="AO39" s="154">
        <f t="shared" si="74"/>
        <v>6.128861199999999</v>
      </c>
      <c r="AP39" s="154">
        <f t="shared" si="75"/>
        <v>18.886898799999997</v>
      </c>
      <c r="AQ39" s="154">
        <f t="shared" si="76"/>
        <v>37.13703279999999</v>
      </c>
      <c r="AR39" s="154">
        <f t="shared" si="77"/>
        <v>0</v>
      </c>
      <c r="AS39" s="154">
        <f t="shared" si="78"/>
        <v>0</v>
      </c>
      <c r="AT39" s="154">
        <f t="shared" si="79"/>
        <v>0</v>
      </c>
      <c r="AU39" s="154">
        <f t="shared" si="80"/>
        <v>4.6961404</v>
      </c>
      <c r="AV39" s="154">
        <f aca="true" t="shared" si="83" ref="AV39:AV50">AV$35*AI39/AI$35</f>
        <v>62.324918585155345</v>
      </c>
      <c r="AW39" s="154">
        <f t="shared" si="81"/>
        <v>32.30140527688718</v>
      </c>
      <c r="AX39" s="157">
        <f t="shared" si="82"/>
        <v>173.31916356204252</v>
      </c>
      <c r="AY39" s="94">
        <f aca="true" t="shared" si="84" ref="AY39:AY50">100*AX39/AX$20</f>
        <v>4.115753928777371</v>
      </c>
      <c r="AZ39" s="4" t="s">
        <v>94</v>
      </c>
      <c r="BA39" s="242">
        <f aca="true" t="shared" si="85" ref="BA39:BA50">100*((SUM(AN39:AQ39)-(BI$26/AV$35)*AV39-(BJ$26/AW$35)*AW39)/AX$19)</f>
        <v>4.192537968765415</v>
      </c>
      <c r="BB39" t="s">
        <v>94</v>
      </c>
    </row>
    <row r="40" spans="1:54" ht="12.75">
      <c r="A40" s="48" t="s">
        <v>25</v>
      </c>
      <c r="B40" s="49">
        <v>0.43</v>
      </c>
      <c r="C40" s="49"/>
      <c r="D40" s="49">
        <v>0.77</v>
      </c>
      <c r="E40" s="49">
        <v>2.73</v>
      </c>
      <c r="F40" s="49"/>
      <c r="G40" s="49"/>
      <c r="H40" s="49"/>
      <c r="I40" s="49">
        <v>0.05</v>
      </c>
      <c r="J40" s="49">
        <v>8.07</v>
      </c>
      <c r="K40" s="49">
        <v>0.18</v>
      </c>
      <c r="L40" s="55">
        <v>12.23</v>
      </c>
      <c r="N40" s="3" t="s">
        <v>25</v>
      </c>
      <c r="O40" s="24">
        <v>0</v>
      </c>
      <c r="P40" s="24">
        <v>0</v>
      </c>
      <c r="Q40" s="24">
        <v>0</v>
      </c>
      <c r="R40" s="24">
        <v>0</v>
      </c>
      <c r="S40" s="280">
        <v>0</v>
      </c>
      <c r="T40" s="280">
        <v>0</v>
      </c>
      <c r="U40" s="24">
        <v>0</v>
      </c>
      <c r="V40" s="24">
        <v>0</v>
      </c>
      <c r="W40" s="24">
        <v>0</v>
      </c>
      <c r="X40" s="24">
        <v>0</v>
      </c>
      <c r="Y40" s="29"/>
      <c r="Z40" s="3" t="s">
        <v>25</v>
      </c>
      <c r="AA40" s="154">
        <f t="shared" si="63"/>
        <v>0.43</v>
      </c>
      <c r="AB40" s="154">
        <f t="shared" si="64"/>
        <v>0</v>
      </c>
      <c r="AC40" s="154">
        <f t="shared" si="65"/>
        <v>0.77</v>
      </c>
      <c r="AD40" s="154">
        <f t="shared" si="66"/>
        <v>2.73</v>
      </c>
      <c r="AE40" s="154">
        <f t="shared" si="67"/>
        <v>0</v>
      </c>
      <c r="AF40" s="154">
        <f t="shared" si="68"/>
        <v>0</v>
      </c>
      <c r="AG40" s="154">
        <f t="shared" si="69"/>
        <v>0</v>
      </c>
      <c r="AH40" s="154">
        <f t="shared" si="70"/>
        <v>0.05</v>
      </c>
      <c r="AI40" s="154">
        <f t="shared" si="71"/>
        <v>8.07</v>
      </c>
      <c r="AJ40" s="154">
        <f t="shared" si="72"/>
        <v>0.18</v>
      </c>
      <c r="AK40" s="157">
        <f t="shared" si="10"/>
        <v>12.23</v>
      </c>
      <c r="AM40" s="78" t="s">
        <v>25</v>
      </c>
      <c r="AN40" s="154">
        <f t="shared" si="73"/>
        <v>1.6589185</v>
      </c>
      <c r="AO40" s="154">
        <f t="shared" si="74"/>
        <v>0</v>
      </c>
      <c r="AP40" s="154">
        <f t="shared" si="75"/>
        <v>2.4077669</v>
      </c>
      <c r="AQ40" s="154">
        <f t="shared" si="76"/>
        <v>6.2084567999999996</v>
      </c>
      <c r="AR40" s="154">
        <f t="shared" si="77"/>
        <v>0</v>
      </c>
      <c r="AS40" s="154">
        <f t="shared" si="78"/>
        <v>0</v>
      </c>
      <c r="AT40" s="154">
        <f t="shared" si="79"/>
        <v>0</v>
      </c>
      <c r="AU40" s="154">
        <f t="shared" si="80"/>
        <v>0.239599</v>
      </c>
      <c r="AV40" s="154">
        <f t="shared" si="83"/>
        <v>31.97470394038167</v>
      </c>
      <c r="AW40" s="154">
        <f t="shared" si="81"/>
        <v>0.8903909570964308</v>
      </c>
      <c r="AX40" s="157">
        <f t="shared" si="82"/>
        <v>43.3798360974781</v>
      </c>
      <c r="AY40" s="94">
        <f ca="1" t="shared" si="84"/>
        <v>1.0301268894827216</v>
      </c>
      <c r="AZ40" s="4" t="s">
        <v>94</v>
      </c>
      <c r="BA40" s="242">
        <f ca="1" t="shared" si="85"/>
        <v>1.0606315326737124</v>
      </c>
      <c r="BB40" t="s">
        <v>94</v>
      </c>
    </row>
    <row r="41" spans="1:54" ht="12.75">
      <c r="A41" s="48" t="s">
        <v>26</v>
      </c>
      <c r="B41" s="49">
        <v>4.79</v>
      </c>
      <c r="C41" s="49"/>
      <c r="D41" s="49">
        <v>9.38</v>
      </c>
      <c r="E41" s="49">
        <v>13.51</v>
      </c>
      <c r="F41" s="49"/>
      <c r="G41" s="49"/>
      <c r="H41" s="49"/>
      <c r="I41" s="49">
        <v>3.03</v>
      </c>
      <c r="J41" s="49">
        <v>7.03</v>
      </c>
      <c r="K41" s="49">
        <v>0.18</v>
      </c>
      <c r="L41" s="55">
        <v>37.91</v>
      </c>
      <c r="N41" s="3" t="s">
        <v>26</v>
      </c>
      <c r="O41" s="24">
        <v>0</v>
      </c>
      <c r="P41" s="24">
        <v>0</v>
      </c>
      <c r="Q41" s="24">
        <v>0</v>
      </c>
      <c r="R41" s="24">
        <v>0</v>
      </c>
      <c r="S41" s="280">
        <v>0</v>
      </c>
      <c r="T41" s="280">
        <v>0</v>
      </c>
      <c r="U41" s="24">
        <v>0</v>
      </c>
      <c r="V41" s="24">
        <v>0</v>
      </c>
      <c r="W41" s="24">
        <v>0</v>
      </c>
      <c r="X41" s="24">
        <v>0</v>
      </c>
      <c r="Y41" s="29"/>
      <c r="Z41" s="3" t="s">
        <v>26</v>
      </c>
      <c r="AA41" s="154">
        <f t="shared" si="63"/>
        <v>4.79</v>
      </c>
      <c r="AB41" s="154">
        <f t="shared" si="64"/>
        <v>0</v>
      </c>
      <c r="AC41" s="154">
        <f t="shared" si="65"/>
        <v>9.38</v>
      </c>
      <c r="AD41" s="154">
        <f t="shared" si="66"/>
        <v>13.51</v>
      </c>
      <c r="AE41" s="154">
        <f t="shared" si="67"/>
        <v>0</v>
      </c>
      <c r="AF41" s="154">
        <f t="shared" si="68"/>
        <v>0</v>
      </c>
      <c r="AG41" s="154">
        <f t="shared" si="69"/>
        <v>0</v>
      </c>
      <c r="AH41" s="154">
        <f t="shared" si="70"/>
        <v>3.03</v>
      </c>
      <c r="AI41" s="154">
        <f t="shared" si="71"/>
        <v>7.03</v>
      </c>
      <c r="AJ41" s="154">
        <f t="shared" si="72"/>
        <v>0.18</v>
      </c>
      <c r="AK41" s="157">
        <f t="shared" si="10"/>
        <v>37.92</v>
      </c>
      <c r="AM41" s="78" t="s">
        <v>26</v>
      </c>
      <c r="AN41" s="154">
        <f t="shared" si="73"/>
        <v>18.479580499999997</v>
      </c>
      <c r="AO41" s="154">
        <f t="shared" si="74"/>
        <v>0</v>
      </c>
      <c r="AP41" s="154">
        <f t="shared" si="75"/>
        <v>29.330978599999998</v>
      </c>
      <c r="AQ41" s="154">
        <f t="shared" si="76"/>
        <v>30.723901599999994</v>
      </c>
      <c r="AR41" s="154">
        <f t="shared" si="77"/>
        <v>0</v>
      </c>
      <c r="AS41" s="154">
        <f t="shared" si="78"/>
        <v>0</v>
      </c>
      <c r="AT41" s="154">
        <f t="shared" si="79"/>
        <v>0</v>
      </c>
      <c r="AU41" s="154">
        <f t="shared" si="80"/>
        <v>14.519699399999999</v>
      </c>
      <c r="AV41" s="154">
        <f t="shared" si="83"/>
        <v>27.85404816615652</v>
      </c>
      <c r="AW41" s="154">
        <f t="shared" si="81"/>
        <v>0.8903909570964308</v>
      </c>
      <c r="AX41" s="157">
        <f t="shared" si="82"/>
        <v>121.79859922325292</v>
      </c>
      <c r="AY41" s="94">
        <f ca="1" t="shared" si="84"/>
        <v>2.8923118077086576</v>
      </c>
      <c r="AZ41" s="4" t="s">
        <v>94</v>
      </c>
      <c r="BA41" s="242">
        <f ca="1" t="shared" si="85"/>
        <v>2.8314442309285552</v>
      </c>
      <c r="BB41" t="s">
        <v>94</v>
      </c>
    </row>
    <row r="42" spans="1:54" ht="12.75">
      <c r="A42" s="48" t="s">
        <v>27</v>
      </c>
      <c r="B42" s="49">
        <v>0.1</v>
      </c>
      <c r="C42" s="49"/>
      <c r="D42" s="49">
        <v>0.43</v>
      </c>
      <c r="E42" s="49">
        <v>2.49</v>
      </c>
      <c r="F42" s="49"/>
      <c r="G42" s="49"/>
      <c r="H42" s="49"/>
      <c r="I42" s="49"/>
      <c r="J42" s="49">
        <v>4.09</v>
      </c>
      <c r="K42" s="49">
        <v>0.62</v>
      </c>
      <c r="L42" s="55">
        <v>7.73</v>
      </c>
      <c r="N42" s="3" t="s">
        <v>27</v>
      </c>
      <c r="O42" s="24">
        <v>0</v>
      </c>
      <c r="P42" s="24">
        <v>0</v>
      </c>
      <c r="Q42" s="24">
        <v>0</v>
      </c>
      <c r="R42" s="24">
        <v>0</v>
      </c>
      <c r="S42" s="280">
        <v>0</v>
      </c>
      <c r="T42" s="280">
        <v>0</v>
      </c>
      <c r="U42" s="24">
        <v>0</v>
      </c>
      <c r="V42" s="24">
        <v>0</v>
      </c>
      <c r="W42" s="24">
        <v>0</v>
      </c>
      <c r="X42" s="24">
        <v>0</v>
      </c>
      <c r="Y42" s="29"/>
      <c r="Z42" s="3" t="s">
        <v>27</v>
      </c>
      <c r="AA42" s="154">
        <f t="shared" si="63"/>
        <v>0.1</v>
      </c>
      <c r="AB42" s="154">
        <f t="shared" si="64"/>
        <v>0</v>
      </c>
      <c r="AC42" s="154">
        <f t="shared" si="65"/>
        <v>0.43</v>
      </c>
      <c r="AD42" s="154">
        <f t="shared" si="66"/>
        <v>2.49</v>
      </c>
      <c r="AE42" s="154">
        <f t="shared" si="67"/>
        <v>0</v>
      </c>
      <c r="AF42" s="154">
        <f t="shared" si="68"/>
        <v>0</v>
      </c>
      <c r="AG42" s="154">
        <f t="shared" si="69"/>
        <v>0</v>
      </c>
      <c r="AH42" s="154">
        <f t="shared" si="70"/>
        <v>0</v>
      </c>
      <c r="AI42" s="154">
        <f t="shared" si="71"/>
        <v>4.09</v>
      </c>
      <c r="AJ42" s="154">
        <f t="shared" si="72"/>
        <v>0.62</v>
      </c>
      <c r="AK42" s="157">
        <f t="shared" si="10"/>
        <v>7.73</v>
      </c>
      <c r="AM42" s="78" t="s">
        <v>27</v>
      </c>
      <c r="AN42" s="154">
        <f t="shared" si="73"/>
        <v>0.385795</v>
      </c>
      <c r="AO42" s="154">
        <f t="shared" si="74"/>
        <v>0</v>
      </c>
      <c r="AP42" s="154">
        <f t="shared" si="75"/>
        <v>1.3445970999999999</v>
      </c>
      <c r="AQ42" s="154">
        <f t="shared" si="76"/>
        <v>5.6626584</v>
      </c>
      <c r="AR42" s="154">
        <f t="shared" si="77"/>
        <v>0</v>
      </c>
      <c r="AS42" s="154">
        <f t="shared" si="78"/>
        <v>0</v>
      </c>
      <c r="AT42" s="154">
        <f t="shared" si="79"/>
        <v>0</v>
      </c>
      <c r="AU42" s="154">
        <f t="shared" si="80"/>
        <v>0</v>
      </c>
      <c r="AV42" s="154">
        <f t="shared" si="83"/>
        <v>16.205271265943125</v>
      </c>
      <c r="AW42" s="154">
        <f t="shared" si="81"/>
        <v>3.0669021855543726</v>
      </c>
      <c r="AX42" s="157">
        <f t="shared" si="82"/>
        <v>26.6652239514975</v>
      </c>
      <c r="AY42" s="94">
        <f ca="1" t="shared" si="84"/>
        <v>0.6332104193476467</v>
      </c>
      <c r="AZ42" s="4" t="s">
        <v>94</v>
      </c>
      <c r="BA42" s="242">
        <f ca="1" t="shared" si="85"/>
        <v>0.6527959578426584</v>
      </c>
      <c r="BB42" t="s">
        <v>94</v>
      </c>
    </row>
    <row r="43" spans="1:54" ht="12.75">
      <c r="A43" s="48" t="s">
        <v>28</v>
      </c>
      <c r="B43" s="49">
        <v>0.14</v>
      </c>
      <c r="C43" s="49"/>
      <c r="D43" s="49">
        <v>1.77</v>
      </c>
      <c r="E43" s="49">
        <v>6.43</v>
      </c>
      <c r="F43" s="49"/>
      <c r="G43" s="49"/>
      <c r="H43" s="49"/>
      <c r="I43" s="49">
        <v>0.07</v>
      </c>
      <c r="J43" s="49">
        <v>8.59</v>
      </c>
      <c r="K43" s="49">
        <v>0.53</v>
      </c>
      <c r="L43" s="55">
        <v>17.52</v>
      </c>
      <c r="N43" s="3" t="s">
        <v>28</v>
      </c>
      <c r="O43" s="24">
        <v>0</v>
      </c>
      <c r="P43" s="24">
        <v>0</v>
      </c>
      <c r="Q43" s="24">
        <v>0</v>
      </c>
      <c r="R43" s="24">
        <v>0</v>
      </c>
      <c r="S43" s="280">
        <v>0</v>
      </c>
      <c r="T43" s="280">
        <v>0</v>
      </c>
      <c r="U43" s="24">
        <v>0</v>
      </c>
      <c r="V43" s="24">
        <v>0</v>
      </c>
      <c r="W43" s="24">
        <v>0</v>
      </c>
      <c r="X43" s="24">
        <v>0</v>
      </c>
      <c r="Y43" s="29"/>
      <c r="Z43" s="3" t="s">
        <v>28</v>
      </c>
      <c r="AA43" s="154">
        <f t="shared" si="63"/>
        <v>0.14</v>
      </c>
      <c r="AB43" s="154">
        <f t="shared" si="64"/>
        <v>0</v>
      </c>
      <c r="AC43" s="154">
        <f t="shared" si="65"/>
        <v>1.77</v>
      </c>
      <c r="AD43" s="154">
        <f t="shared" si="66"/>
        <v>6.43</v>
      </c>
      <c r="AE43" s="154">
        <f t="shared" si="67"/>
        <v>0</v>
      </c>
      <c r="AF43" s="154">
        <f t="shared" si="68"/>
        <v>0</v>
      </c>
      <c r="AG43" s="154">
        <f t="shared" si="69"/>
        <v>0</v>
      </c>
      <c r="AH43" s="154">
        <f t="shared" si="70"/>
        <v>0.07</v>
      </c>
      <c r="AI43" s="154">
        <f t="shared" si="71"/>
        <v>8.59</v>
      </c>
      <c r="AJ43" s="154">
        <f t="shared" si="72"/>
        <v>0.53</v>
      </c>
      <c r="AK43" s="157">
        <f t="shared" si="10"/>
        <v>17.53</v>
      </c>
      <c r="AM43" s="78" t="s">
        <v>28</v>
      </c>
      <c r="AN43" s="154">
        <f t="shared" si="73"/>
        <v>0.5401130000000001</v>
      </c>
      <c r="AO43" s="154">
        <f t="shared" si="74"/>
        <v>0</v>
      </c>
      <c r="AP43" s="154">
        <f t="shared" si="75"/>
        <v>5.5347368999999995</v>
      </c>
      <c r="AQ43" s="154">
        <f t="shared" si="76"/>
        <v>14.622848799999998</v>
      </c>
      <c r="AR43" s="154">
        <f t="shared" si="77"/>
        <v>0</v>
      </c>
      <c r="AS43" s="154">
        <f t="shared" si="78"/>
        <v>0</v>
      </c>
      <c r="AT43" s="154">
        <f t="shared" si="79"/>
        <v>0</v>
      </c>
      <c r="AU43" s="154">
        <f t="shared" si="80"/>
        <v>0.33543860000000003</v>
      </c>
      <c r="AV43" s="154">
        <f t="shared" si="83"/>
        <v>34.03503182749424</v>
      </c>
      <c r="AW43" s="154">
        <f t="shared" si="81"/>
        <v>2.6217067070061577</v>
      </c>
      <c r="AX43" s="157">
        <f t="shared" si="82"/>
        <v>57.689875834500384</v>
      </c>
      <c r="AY43" s="94">
        <f ca="1" t="shared" si="84"/>
        <v>1.3699427589928852</v>
      </c>
      <c r="AZ43" s="4" t="s">
        <v>94</v>
      </c>
      <c r="BA43" s="242">
        <f ca="1" t="shared" si="85"/>
        <v>1.4316642070834555</v>
      </c>
      <c r="BB43" t="s">
        <v>94</v>
      </c>
    </row>
    <row r="44" spans="1:54" ht="12.75">
      <c r="A44" s="48" t="s">
        <v>29</v>
      </c>
      <c r="B44" s="49">
        <v>0.14</v>
      </c>
      <c r="C44" s="49"/>
      <c r="D44" s="49">
        <v>0.73</v>
      </c>
      <c r="E44" s="49">
        <v>0.46</v>
      </c>
      <c r="F44" s="49"/>
      <c r="G44" s="49"/>
      <c r="H44" s="49"/>
      <c r="I44" s="49">
        <v>0.02</v>
      </c>
      <c r="J44" s="49">
        <v>1.24</v>
      </c>
      <c r="K44" s="49">
        <v>0.16</v>
      </c>
      <c r="L44" s="55">
        <v>2.75</v>
      </c>
      <c r="N44" s="3" t="s">
        <v>29</v>
      </c>
      <c r="O44" s="24">
        <v>0</v>
      </c>
      <c r="P44" s="24">
        <v>0</v>
      </c>
      <c r="Q44" s="24">
        <v>0</v>
      </c>
      <c r="R44" s="24">
        <v>0</v>
      </c>
      <c r="S44" s="280">
        <v>0</v>
      </c>
      <c r="T44" s="280">
        <v>0</v>
      </c>
      <c r="U44" s="24">
        <v>0</v>
      </c>
      <c r="V44" s="24">
        <v>0</v>
      </c>
      <c r="W44" s="24">
        <v>0</v>
      </c>
      <c r="X44" s="24">
        <v>0</v>
      </c>
      <c r="Y44" s="29"/>
      <c r="Z44" s="3" t="s">
        <v>29</v>
      </c>
      <c r="AA44" s="154">
        <f t="shared" si="63"/>
        <v>0.14</v>
      </c>
      <c r="AB44" s="154">
        <f t="shared" si="64"/>
        <v>0</v>
      </c>
      <c r="AC44" s="154">
        <f t="shared" si="65"/>
        <v>0.73</v>
      </c>
      <c r="AD44" s="154">
        <f t="shared" si="66"/>
        <v>0.46</v>
      </c>
      <c r="AE44" s="154">
        <f t="shared" si="67"/>
        <v>0</v>
      </c>
      <c r="AF44" s="154">
        <f t="shared" si="68"/>
        <v>0</v>
      </c>
      <c r="AG44" s="154">
        <f t="shared" si="69"/>
        <v>0</v>
      </c>
      <c r="AH44" s="154">
        <f t="shared" si="70"/>
        <v>0.02</v>
      </c>
      <c r="AI44" s="154">
        <f t="shared" si="71"/>
        <v>1.24</v>
      </c>
      <c r="AJ44" s="154">
        <f t="shared" si="72"/>
        <v>0.16</v>
      </c>
      <c r="AK44" s="157">
        <f t="shared" si="10"/>
        <v>2.75</v>
      </c>
      <c r="AM44" s="78" t="s">
        <v>29</v>
      </c>
      <c r="AN44" s="154">
        <f t="shared" si="73"/>
        <v>0.5401130000000001</v>
      </c>
      <c r="AO44" s="154">
        <f t="shared" si="74"/>
        <v>0</v>
      </c>
      <c r="AP44" s="154">
        <f t="shared" si="75"/>
        <v>2.2826880999999997</v>
      </c>
      <c r="AQ44" s="154">
        <f t="shared" si="76"/>
        <v>1.0461136</v>
      </c>
      <c r="AR44" s="154">
        <f t="shared" si="77"/>
        <v>0</v>
      </c>
      <c r="AS44" s="154">
        <f t="shared" si="78"/>
        <v>0</v>
      </c>
      <c r="AT44" s="154">
        <f t="shared" si="79"/>
        <v>0</v>
      </c>
      <c r="AU44" s="154">
        <f t="shared" si="80"/>
        <v>0.0958396</v>
      </c>
      <c r="AV44" s="154">
        <f t="shared" si="83"/>
        <v>4.913089576960751</v>
      </c>
      <c r="AW44" s="154">
        <f t="shared" si="81"/>
        <v>0.7914586285301607</v>
      </c>
      <c r="AX44" s="157">
        <f t="shared" si="82"/>
        <v>9.669302505490911</v>
      </c>
      <c r="AY44" s="94">
        <f ca="1" t="shared" si="84"/>
        <v>0.22961378855988585</v>
      </c>
      <c r="AZ44" s="4" t="s">
        <v>94</v>
      </c>
      <c r="BA44" s="242">
        <f ca="1" t="shared" si="85"/>
        <v>0.23954019332236387</v>
      </c>
      <c r="BB44" t="s">
        <v>94</v>
      </c>
    </row>
    <row r="45" spans="1:54" ht="12.75">
      <c r="A45" s="48" t="s">
        <v>30</v>
      </c>
      <c r="B45" s="49">
        <v>1.55</v>
      </c>
      <c r="C45" s="49"/>
      <c r="D45" s="49">
        <v>3.3</v>
      </c>
      <c r="E45" s="49">
        <v>11.37</v>
      </c>
      <c r="F45" s="49"/>
      <c r="G45" s="49"/>
      <c r="H45" s="49"/>
      <c r="I45" s="49">
        <v>1.25</v>
      </c>
      <c r="J45" s="49">
        <v>9.96</v>
      </c>
      <c r="K45" s="49">
        <v>0.94</v>
      </c>
      <c r="L45" s="55">
        <v>28.38</v>
      </c>
      <c r="N45" s="3" t="s">
        <v>30</v>
      </c>
      <c r="O45" s="24">
        <v>0</v>
      </c>
      <c r="P45" s="24">
        <v>0</v>
      </c>
      <c r="Q45" s="24">
        <v>0</v>
      </c>
      <c r="R45" s="24">
        <v>0</v>
      </c>
      <c r="S45" s="280">
        <v>0</v>
      </c>
      <c r="T45" s="280">
        <v>0</v>
      </c>
      <c r="U45" s="24">
        <v>0</v>
      </c>
      <c r="V45" s="24">
        <v>0</v>
      </c>
      <c r="W45" s="24">
        <v>0</v>
      </c>
      <c r="X45" s="24">
        <v>0</v>
      </c>
      <c r="Y45" s="29"/>
      <c r="Z45" s="3" t="s">
        <v>30</v>
      </c>
      <c r="AA45" s="154">
        <f t="shared" si="63"/>
        <v>1.55</v>
      </c>
      <c r="AB45" s="154">
        <f t="shared" si="64"/>
        <v>0</v>
      </c>
      <c r="AC45" s="154">
        <f t="shared" si="65"/>
        <v>3.3</v>
      </c>
      <c r="AD45" s="154">
        <f t="shared" si="66"/>
        <v>11.37</v>
      </c>
      <c r="AE45" s="154">
        <f t="shared" si="67"/>
        <v>0</v>
      </c>
      <c r="AF45" s="154">
        <f t="shared" si="68"/>
        <v>0</v>
      </c>
      <c r="AG45" s="154">
        <f t="shared" si="69"/>
        <v>0</v>
      </c>
      <c r="AH45" s="154">
        <f t="shared" si="70"/>
        <v>1.25</v>
      </c>
      <c r="AI45" s="154">
        <f t="shared" si="71"/>
        <v>9.96</v>
      </c>
      <c r="AJ45" s="154">
        <f t="shared" si="72"/>
        <v>0.94</v>
      </c>
      <c r="AK45" s="157">
        <f t="shared" si="10"/>
        <v>28.37</v>
      </c>
      <c r="AM45" s="78" t="s">
        <v>30</v>
      </c>
      <c r="AN45" s="154">
        <f t="shared" si="73"/>
        <v>5.9798225</v>
      </c>
      <c r="AO45" s="154">
        <f t="shared" si="74"/>
        <v>0</v>
      </c>
      <c r="AP45" s="154">
        <f t="shared" si="75"/>
        <v>10.319000999999998</v>
      </c>
      <c r="AQ45" s="154">
        <f t="shared" si="76"/>
        <v>25.857199199999997</v>
      </c>
      <c r="AR45" s="154">
        <f t="shared" si="77"/>
        <v>0</v>
      </c>
      <c r="AS45" s="154">
        <f t="shared" si="78"/>
        <v>0</v>
      </c>
      <c r="AT45" s="154">
        <f t="shared" si="79"/>
        <v>0</v>
      </c>
      <c r="AU45" s="154">
        <f t="shared" si="80"/>
        <v>5.989974999999999</v>
      </c>
      <c r="AV45" s="154">
        <f t="shared" si="83"/>
        <v>39.46320337623314</v>
      </c>
      <c r="AW45" s="154">
        <f t="shared" si="81"/>
        <v>4.649819442614694</v>
      </c>
      <c r="AX45" s="157">
        <f t="shared" si="82"/>
        <v>92.25902051884783</v>
      </c>
      <c r="AY45" s="94">
        <f ca="1" t="shared" si="84"/>
        <v>2.1908450188756796</v>
      </c>
      <c r="AZ45" s="4" t="s">
        <v>94</v>
      </c>
      <c r="BA45" s="242">
        <f ca="1" t="shared" si="85"/>
        <v>2.1912212918956633</v>
      </c>
      <c r="BB45" t="s">
        <v>94</v>
      </c>
    </row>
    <row r="46" spans="1:54" ht="12.75">
      <c r="A46" s="48" t="s">
        <v>31</v>
      </c>
      <c r="B46" s="49">
        <v>1.17</v>
      </c>
      <c r="C46" s="49"/>
      <c r="D46" s="49">
        <v>1.54</v>
      </c>
      <c r="E46" s="49">
        <v>7.41</v>
      </c>
      <c r="F46" s="49"/>
      <c r="G46" s="49"/>
      <c r="H46" s="49"/>
      <c r="I46" s="49">
        <v>11.03</v>
      </c>
      <c r="J46" s="49">
        <v>11.35</v>
      </c>
      <c r="K46" s="49">
        <v>1.98</v>
      </c>
      <c r="L46" s="55">
        <v>34.47</v>
      </c>
      <c r="N46" s="3" t="s">
        <v>31</v>
      </c>
      <c r="O46" s="24">
        <v>0</v>
      </c>
      <c r="P46" s="24">
        <v>0</v>
      </c>
      <c r="Q46" s="24">
        <v>0</v>
      </c>
      <c r="R46" s="24">
        <v>0</v>
      </c>
      <c r="S46" s="280">
        <v>0</v>
      </c>
      <c r="T46" s="280">
        <v>0</v>
      </c>
      <c r="U46" s="24">
        <v>0</v>
      </c>
      <c r="V46" s="24">
        <v>0</v>
      </c>
      <c r="W46" s="24">
        <v>0</v>
      </c>
      <c r="X46" s="24">
        <v>0</v>
      </c>
      <c r="Y46" s="29"/>
      <c r="Z46" s="3" t="s">
        <v>31</v>
      </c>
      <c r="AA46" s="154">
        <f t="shared" si="63"/>
        <v>1.17</v>
      </c>
      <c r="AB46" s="154">
        <f t="shared" si="64"/>
        <v>0</v>
      </c>
      <c r="AC46" s="154">
        <f t="shared" si="65"/>
        <v>1.54</v>
      </c>
      <c r="AD46" s="154">
        <f t="shared" si="66"/>
        <v>7.41</v>
      </c>
      <c r="AE46" s="154">
        <f t="shared" si="67"/>
        <v>0</v>
      </c>
      <c r="AF46" s="154">
        <f t="shared" si="68"/>
        <v>0</v>
      </c>
      <c r="AG46" s="154">
        <f t="shared" si="69"/>
        <v>0</v>
      </c>
      <c r="AH46" s="154">
        <f t="shared" si="70"/>
        <v>11.03</v>
      </c>
      <c r="AI46" s="154">
        <f t="shared" si="71"/>
        <v>11.35</v>
      </c>
      <c r="AJ46" s="154">
        <f t="shared" si="72"/>
        <v>1.98</v>
      </c>
      <c r="AK46" s="157">
        <f t="shared" si="10"/>
        <v>34.48</v>
      </c>
      <c r="AM46" s="78" t="s">
        <v>31</v>
      </c>
      <c r="AN46" s="154">
        <f t="shared" si="73"/>
        <v>4.5138015</v>
      </c>
      <c r="AO46" s="154">
        <f t="shared" si="74"/>
        <v>0</v>
      </c>
      <c r="AP46" s="154">
        <f t="shared" si="75"/>
        <v>4.8155338</v>
      </c>
      <c r="AQ46" s="154">
        <f t="shared" si="76"/>
        <v>16.8515256</v>
      </c>
      <c r="AR46" s="154">
        <f t="shared" si="77"/>
        <v>0</v>
      </c>
      <c r="AS46" s="154">
        <f t="shared" si="78"/>
        <v>0</v>
      </c>
      <c r="AT46" s="154">
        <f t="shared" si="79"/>
        <v>0</v>
      </c>
      <c r="AU46" s="154">
        <f t="shared" si="80"/>
        <v>52.85553939999999</v>
      </c>
      <c r="AV46" s="154">
        <f t="shared" si="83"/>
        <v>44.97061830524559</v>
      </c>
      <c r="AW46" s="154">
        <f t="shared" si="81"/>
        <v>9.794300528060738</v>
      </c>
      <c r="AX46" s="157">
        <f t="shared" si="82"/>
        <v>133.80131913330632</v>
      </c>
      <c r="AY46" s="94">
        <f ca="1" t="shared" si="84"/>
        <v>3.1773365020964364</v>
      </c>
      <c r="AZ46" s="4" t="s">
        <v>94</v>
      </c>
      <c r="BA46" s="242">
        <f ca="1" t="shared" si="85"/>
        <v>1.993830421735227</v>
      </c>
      <c r="BB46" t="s">
        <v>94</v>
      </c>
    </row>
    <row r="47" spans="1:54" ht="12.75">
      <c r="A47" s="48" t="s">
        <v>32</v>
      </c>
      <c r="B47" s="49">
        <v>0.34</v>
      </c>
      <c r="C47" s="49"/>
      <c r="D47" s="49">
        <v>0.24</v>
      </c>
      <c r="E47" s="49">
        <v>0.58</v>
      </c>
      <c r="F47" s="49"/>
      <c r="G47" s="49"/>
      <c r="H47" s="49"/>
      <c r="I47" s="49">
        <v>4.43</v>
      </c>
      <c r="J47" s="49">
        <v>2.23</v>
      </c>
      <c r="K47" s="49">
        <v>0.45</v>
      </c>
      <c r="L47" s="55">
        <v>8.26</v>
      </c>
      <c r="N47" s="3" t="s">
        <v>32</v>
      </c>
      <c r="O47" s="24">
        <v>0</v>
      </c>
      <c r="P47" s="24">
        <v>0</v>
      </c>
      <c r="Q47" s="24">
        <v>0</v>
      </c>
      <c r="R47" s="24">
        <v>0</v>
      </c>
      <c r="S47" s="280">
        <v>0</v>
      </c>
      <c r="T47" s="280">
        <v>0</v>
      </c>
      <c r="U47" s="24">
        <v>0</v>
      </c>
      <c r="V47" s="24">
        <v>0</v>
      </c>
      <c r="W47" s="24">
        <v>0</v>
      </c>
      <c r="X47" s="24">
        <v>0</v>
      </c>
      <c r="Y47" s="29"/>
      <c r="Z47" s="3" t="s">
        <v>32</v>
      </c>
      <c r="AA47" s="154">
        <f t="shared" si="63"/>
        <v>0.34</v>
      </c>
      <c r="AB47" s="154">
        <f t="shared" si="64"/>
        <v>0</v>
      </c>
      <c r="AC47" s="154">
        <f t="shared" si="65"/>
        <v>0.24</v>
      </c>
      <c r="AD47" s="154">
        <f t="shared" si="66"/>
        <v>0.58</v>
      </c>
      <c r="AE47" s="154">
        <f t="shared" si="67"/>
        <v>0</v>
      </c>
      <c r="AF47" s="154">
        <f t="shared" si="68"/>
        <v>0</v>
      </c>
      <c r="AG47" s="154">
        <f t="shared" si="69"/>
        <v>0</v>
      </c>
      <c r="AH47" s="154">
        <f t="shared" si="70"/>
        <v>4.43</v>
      </c>
      <c r="AI47" s="154">
        <f t="shared" si="71"/>
        <v>2.23</v>
      </c>
      <c r="AJ47" s="154">
        <f t="shared" si="72"/>
        <v>0.45</v>
      </c>
      <c r="AK47" s="157">
        <f t="shared" si="10"/>
        <v>8.27</v>
      </c>
      <c r="AM47" s="78" t="s">
        <v>32</v>
      </c>
      <c r="AN47" s="154">
        <f t="shared" si="73"/>
        <v>1.311703</v>
      </c>
      <c r="AO47" s="154">
        <f t="shared" si="74"/>
        <v>0</v>
      </c>
      <c r="AP47" s="154">
        <f t="shared" si="75"/>
        <v>0.7504727999999998</v>
      </c>
      <c r="AQ47" s="154">
        <f t="shared" si="76"/>
        <v>1.3190127999999997</v>
      </c>
      <c r="AR47" s="154">
        <f t="shared" si="77"/>
        <v>0</v>
      </c>
      <c r="AS47" s="154">
        <f t="shared" si="78"/>
        <v>0</v>
      </c>
      <c r="AT47" s="154">
        <f t="shared" si="79"/>
        <v>0</v>
      </c>
      <c r="AU47" s="154">
        <f t="shared" si="80"/>
        <v>21.228471399999997</v>
      </c>
      <c r="AV47" s="154">
        <f t="shared" si="83"/>
        <v>8.835636900501997</v>
      </c>
      <c r="AW47" s="154">
        <f t="shared" si="81"/>
        <v>2.225977392741077</v>
      </c>
      <c r="AX47" s="157">
        <f t="shared" si="82"/>
        <v>35.67127429324307</v>
      </c>
      <c r="AY47" s="94">
        <f ca="1" t="shared" si="84"/>
        <v>0.8470741740243618</v>
      </c>
      <c r="AZ47" s="4" t="s">
        <v>94</v>
      </c>
      <c r="BA47" s="242">
        <f ca="1" t="shared" si="85"/>
        <v>0.3498702445865124</v>
      </c>
      <c r="BB47" t="s">
        <v>94</v>
      </c>
    </row>
    <row r="48" spans="1:54" ht="12.75">
      <c r="A48" s="48" t="s">
        <v>33</v>
      </c>
      <c r="B48" s="49">
        <v>2.25</v>
      </c>
      <c r="C48" s="49"/>
      <c r="D48" s="49">
        <v>3.32</v>
      </c>
      <c r="E48" s="49">
        <v>0.93</v>
      </c>
      <c r="F48" s="49"/>
      <c r="G48" s="49"/>
      <c r="H48" s="49"/>
      <c r="I48" s="49">
        <v>0.12</v>
      </c>
      <c r="J48" s="49">
        <v>1.71</v>
      </c>
      <c r="K48" s="49">
        <v>0.06</v>
      </c>
      <c r="L48" s="55">
        <v>8.4</v>
      </c>
      <c r="N48" s="3" t="s">
        <v>33</v>
      </c>
      <c r="O48" s="24">
        <v>0</v>
      </c>
      <c r="P48" s="24">
        <v>0</v>
      </c>
      <c r="Q48" s="24">
        <v>0</v>
      </c>
      <c r="R48" s="24">
        <v>0</v>
      </c>
      <c r="S48" s="280">
        <v>0</v>
      </c>
      <c r="T48" s="280">
        <v>0</v>
      </c>
      <c r="U48" s="24">
        <v>0</v>
      </c>
      <c r="V48" s="24">
        <v>0</v>
      </c>
      <c r="W48" s="24">
        <v>0</v>
      </c>
      <c r="X48" s="24">
        <v>0</v>
      </c>
      <c r="Y48" s="29"/>
      <c r="Z48" s="3" t="s">
        <v>33</v>
      </c>
      <c r="AA48" s="154">
        <f t="shared" si="63"/>
        <v>2.25</v>
      </c>
      <c r="AB48" s="154">
        <f t="shared" si="64"/>
        <v>0</v>
      </c>
      <c r="AC48" s="154">
        <f t="shared" si="65"/>
        <v>3.32</v>
      </c>
      <c r="AD48" s="154">
        <f t="shared" si="66"/>
        <v>0.93</v>
      </c>
      <c r="AE48" s="154">
        <f t="shared" si="67"/>
        <v>0</v>
      </c>
      <c r="AF48" s="154">
        <f t="shared" si="68"/>
        <v>0</v>
      </c>
      <c r="AG48" s="154">
        <f t="shared" si="69"/>
        <v>0</v>
      </c>
      <c r="AH48" s="154">
        <f t="shared" si="70"/>
        <v>0.12</v>
      </c>
      <c r="AI48" s="154">
        <f t="shared" si="71"/>
        <v>1.71</v>
      </c>
      <c r="AJ48" s="154">
        <f t="shared" si="72"/>
        <v>0.06</v>
      </c>
      <c r="AK48" s="157">
        <f t="shared" si="10"/>
        <v>8.39</v>
      </c>
      <c r="AM48" s="78" t="s">
        <v>33</v>
      </c>
      <c r="AN48" s="154">
        <f t="shared" si="73"/>
        <v>8.6803875</v>
      </c>
      <c r="AO48" s="154">
        <f t="shared" si="74"/>
        <v>0</v>
      </c>
      <c r="AP48" s="154">
        <f t="shared" si="75"/>
        <v>10.381540399999999</v>
      </c>
      <c r="AQ48" s="154">
        <f t="shared" si="76"/>
        <v>2.1149687999999998</v>
      </c>
      <c r="AR48" s="154">
        <f t="shared" si="77"/>
        <v>0</v>
      </c>
      <c r="AS48" s="154">
        <f t="shared" si="78"/>
        <v>0</v>
      </c>
      <c r="AT48" s="154">
        <f t="shared" si="79"/>
        <v>0</v>
      </c>
      <c r="AU48" s="154">
        <f t="shared" si="80"/>
        <v>0.5750375999999999</v>
      </c>
      <c r="AV48" s="154">
        <f t="shared" si="83"/>
        <v>6.775309013389424</v>
      </c>
      <c r="AW48" s="154">
        <f t="shared" si="81"/>
        <v>0.29679698569881025</v>
      </c>
      <c r="AX48" s="157">
        <f t="shared" si="82"/>
        <v>28.82404029908824</v>
      </c>
      <c r="AY48" s="94">
        <f ca="1" t="shared" si="84"/>
        <v>0.6844751305399829</v>
      </c>
      <c r="AZ48" s="4" t="s">
        <v>94</v>
      </c>
      <c r="BA48" s="242">
        <f ca="1" t="shared" si="85"/>
        <v>0.7472093062761462</v>
      </c>
      <c r="BB48" t="s">
        <v>94</v>
      </c>
    </row>
    <row r="49" spans="1:54" ht="12.75">
      <c r="A49" s="48" t="s">
        <v>34</v>
      </c>
      <c r="B49" s="49">
        <v>0.17</v>
      </c>
      <c r="C49" s="49"/>
      <c r="D49" s="49">
        <v>0.57</v>
      </c>
      <c r="E49" s="49">
        <v>2.45</v>
      </c>
      <c r="F49" s="49"/>
      <c r="G49" s="49"/>
      <c r="H49" s="49"/>
      <c r="I49" s="49">
        <v>0.07</v>
      </c>
      <c r="J49" s="49">
        <v>2.97</v>
      </c>
      <c r="K49" s="49">
        <v>0.15</v>
      </c>
      <c r="L49" s="55">
        <v>6.38</v>
      </c>
      <c r="N49" s="3" t="s">
        <v>34</v>
      </c>
      <c r="O49" s="24">
        <v>0</v>
      </c>
      <c r="P49" s="24">
        <v>0</v>
      </c>
      <c r="Q49" s="24">
        <v>0</v>
      </c>
      <c r="R49" s="24">
        <v>0</v>
      </c>
      <c r="S49" s="280">
        <v>0</v>
      </c>
      <c r="T49" s="280">
        <v>0</v>
      </c>
      <c r="U49" s="24">
        <v>0</v>
      </c>
      <c r="V49" s="24">
        <v>0</v>
      </c>
      <c r="W49" s="24">
        <v>0</v>
      </c>
      <c r="X49" s="24">
        <v>0</v>
      </c>
      <c r="Y49" s="29"/>
      <c r="Z49" s="3" t="s">
        <v>34</v>
      </c>
      <c r="AA49" s="154">
        <f t="shared" si="63"/>
        <v>0.17</v>
      </c>
      <c r="AB49" s="154">
        <f t="shared" si="64"/>
        <v>0</v>
      </c>
      <c r="AC49" s="154">
        <f t="shared" si="65"/>
        <v>0.57</v>
      </c>
      <c r="AD49" s="154">
        <f t="shared" si="66"/>
        <v>2.45</v>
      </c>
      <c r="AE49" s="154">
        <f t="shared" si="67"/>
        <v>0</v>
      </c>
      <c r="AF49" s="154">
        <f t="shared" si="68"/>
        <v>0</v>
      </c>
      <c r="AG49" s="154">
        <f t="shared" si="69"/>
        <v>0</v>
      </c>
      <c r="AH49" s="154">
        <f t="shared" si="70"/>
        <v>0.07</v>
      </c>
      <c r="AI49" s="154">
        <f t="shared" si="71"/>
        <v>2.97</v>
      </c>
      <c r="AJ49" s="154">
        <f t="shared" si="72"/>
        <v>0.15</v>
      </c>
      <c r="AK49" s="157">
        <f t="shared" si="10"/>
        <v>6.380000000000001</v>
      </c>
      <c r="AM49" s="78" t="s">
        <v>34</v>
      </c>
      <c r="AN49" s="154">
        <f t="shared" si="73"/>
        <v>0.6558515</v>
      </c>
      <c r="AO49" s="154">
        <f t="shared" si="74"/>
        <v>0</v>
      </c>
      <c r="AP49" s="154">
        <f t="shared" si="75"/>
        <v>1.7823728999999997</v>
      </c>
      <c r="AQ49" s="154">
        <f t="shared" si="76"/>
        <v>5.571692</v>
      </c>
      <c r="AR49" s="154">
        <f t="shared" si="77"/>
        <v>0</v>
      </c>
      <c r="AS49" s="154">
        <f t="shared" si="78"/>
        <v>0</v>
      </c>
      <c r="AT49" s="154">
        <f t="shared" si="79"/>
        <v>0</v>
      </c>
      <c r="AU49" s="154">
        <f t="shared" si="80"/>
        <v>0.33543860000000003</v>
      </c>
      <c r="AV49" s="154">
        <f t="shared" si="83"/>
        <v>11.767641970623737</v>
      </c>
      <c r="AW49" s="154">
        <f t="shared" si="81"/>
        <v>0.7419924642470256</v>
      </c>
      <c r="AX49" s="157">
        <f t="shared" si="82"/>
        <v>20.854989434870763</v>
      </c>
      <c r="AY49" s="828">
        <f ca="1" t="shared" si="84"/>
        <v>0.49523666591233106</v>
      </c>
      <c r="AZ49" s="142" t="s">
        <v>94</v>
      </c>
      <c r="BA49" s="242">
        <f ca="1" t="shared" si="85"/>
        <v>0.5148864811351143</v>
      </c>
      <c r="BB49" t="s">
        <v>94</v>
      </c>
    </row>
    <row r="50" spans="1:54" ht="13.5" thickBot="1">
      <c r="A50" s="57" t="s">
        <v>35</v>
      </c>
      <c r="B50" s="58">
        <v>2.37</v>
      </c>
      <c r="C50" s="58"/>
      <c r="D50" s="58">
        <v>6.5</v>
      </c>
      <c r="E50" s="58">
        <v>4.44</v>
      </c>
      <c r="F50" s="58"/>
      <c r="G50" s="58"/>
      <c r="H50" s="58">
        <v>0.03</v>
      </c>
      <c r="I50" s="58">
        <v>1.09</v>
      </c>
      <c r="J50" s="58">
        <v>10.45</v>
      </c>
      <c r="K50" s="58">
        <v>2.97</v>
      </c>
      <c r="L50" s="67">
        <v>27.84</v>
      </c>
      <c r="N50" s="6" t="s">
        <v>35</v>
      </c>
      <c r="O50" s="24">
        <v>0</v>
      </c>
      <c r="P50" s="24">
        <v>0</v>
      </c>
      <c r="Q50" s="24">
        <v>0</v>
      </c>
      <c r="R50" s="24">
        <v>0</v>
      </c>
      <c r="S50" s="280">
        <v>0</v>
      </c>
      <c r="T50" s="280">
        <v>0</v>
      </c>
      <c r="U50" s="24">
        <v>0</v>
      </c>
      <c r="V50" s="24">
        <v>0</v>
      </c>
      <c r="W50" s="24">
        <v>0</v>
      </c>
      <c r="X50" s="24">
        <v>0</v>
      </c>
      <c r="Y50" s="34"/>
      <c r="Z50" s="6" t="s">
        <v>35</v>
      </c>
      <c r="AA50" s="161">
        <f t="shared" si="63"/>
        <v>2.37</v>
      </c>
      <c r="AB50" s="161">
        <f t="shared" si="64"/>
        <v>0</v>
      </c>
      <c r="AC50" s="161">
        <f t="shared" si="65"/>
        <v>6.5</v>
      </c>
      <c r="AD50" s="161">
        <f t="shared" si="66"/>
        <v>4.44</v>
      </c>
      <c r="AE50" s="161">
        <f t="shared" si="67"/>
        <v>0</v>
      </c>
      <c r="AF50" s="161">
        <f t="shared" si="68"/>
        <v>0</v>
      </c>
      <c r="AG50" s="161">
        <f t="shared" si="69"/>
        <v>0.03</v>
      </c>
      <c r="AH50" s="161">
        <f t="shared" si="70"/>
        <v>1.09</v>
      </c>
      <c r="AI50" s="161">
        <f t="shared" si="71"/>
        <v>10.45</v>
      </c>
      <c r="AJ50" s="161">
        <f t="shared" si="72"/>
        <v>2.97</v>
      </c>
      <c r="AK50" s="162">
        <f t="shared" si="10"/>
        <v>27.85</v>
      </c>
      <c r="AM50" s="79" t="s">
        <v>35</v>
      </c>
      <c r="AN50" s="155">
        <f t="shared" si="73"/>
        <v>9.1433415</v>
      </c>
      <c r="AO50" s="161">
        <f t="shared" si="74"/>
        <v>0</v>
      </c>
      <c r="AP50" s="161">
        <f t="shared" si="75"/>
        <v>20.325304999999997</v>
      </c>
      <c r="AQ50" s="161">
        <f t="shared" si="76"/>
        <v>10.0972704</v>
      </c>
      <c r="AR50" s="161">
        <f t="shared" si="77"/>
        <v>0</v>
      </c>
      <c r="AS50" s="161">
        <f t="shared" si="78"/>
        <v>0</v>
      </c>
      <c r="AT50" s="161">
        <f t="shared" si="79"/>
        <v>0</v>
      </c>
      <c r="AU50" s="161">
        <f t="shared" si="80"/>
        <v>5.2232582</v>
      </c>
      <c r="AV50" s="161">
        <f t="shared" si="83"/>
        <v>41.404666192935366</v>
      </c>
      <c r="AW50" s="161">
        <f t="shared" si="81"/>
        <v>14.69145079209111</v>
      </c>
      <c r="AX50" s="162">
        <f t="shared" si="82"/>
        <v>100.88529208502646</v>
      </c>
      <c r="AY50" s="829">
        <f ca="1" t="shared" si="84"/>
        <v>2.3956902902209407</v>
      </c>
      <c r="AZ50" s="144" t="s">
        <v>94</v>
      </c>
      <c r="BA50" s="245">
        <f ca="1" t="shared" si="85"/>
        <v>2.379236522559182</v>
      </c>
      <c r="BB50" s="134" t="s">
        <v>94</v>
      </c>
    </row>
    <row r="51" spans="1:54" ht="16.5" customHeight="1">
      <c r="A51" s="55" t="s">
        <v>36</v>
      </c>
      <c r="B51" s="56">
        <v>0.01</v>
      </c>
      <c r="C51" s="215"/>
      <c r="D51" s="215">
        <v>316.54</v>
      </c>
      <c r="E51" s="214">
        <v>2.17</v>
      </c>
      <c r="F51" s="215"/>
      <c r="G51" s="215"/>
      <c r="H51" s="215"/>
      <c r="I51" s="215">
        <v>11.88</v>
      </c>
      <c r="J51" s="215">
        <v>6.33</v>
      </c>
      <c r="K51" s="215"/>
      <c r="L51" s="55">
        <v>336.93</v>
      </c>
      <c r="N51" s="5" t="s">
        <v>36</v>
      </c>
      <c r="O51" s="11"/>
      <c r="P51" s="11"/>
      <c r="Q51" s="273"/>
      <c r="R51" s="283"/>
      <c r="S51" s="273"/>
      <c r="T51" s="273"/>
      <c r="U51" s="273"/>
      <c r="V51" s="273"/>
      <c r="W51" s="273"/>
      <c r="X51" s="11"/>
      <c r="Y51" s="33"/>
      <c r="Z51" s="5" t="s">
        <v>36</v>
      </c>
      <c r="AA51" s="153">
        <f>AA52+AA55+AA62+SUM(AA65:AA67)</f>
        <v>0.01</v>
      </c>
      <c r="AB51" s="153"/>
      <c r="AC51" s="160">
        <f ca="1">AC52+AB55+AC55+AB62+AC62+SUM(AC65:AC67)</f>
        <v>316.6500313975129</v>
      </c>
      <c r="AD51" s="153">
        <f ca="1">AD52+AD55+AD62+SUM(AD65:AD67)</f>
        <v>2.139976971589598</v>
      </c>
      <c r="AE51" s="153">
        <f>SUM(AE52:AE67)</f>
        <v>0</v>
      </c>
      <c r="AF51" s="153">
        <f>SUM(AF52:AF67)</f>
        <v>0</v>
      </c>
      <c r="AG51" s="153">
        <f>SUM(AG52:AG67)</f>
        <v>0</v>
      </c>
      <c r="AH51" s="153">
        <f ca="1">AH52+AH55+AH62+SUM(AH65:AH67)</f>
        <v>11.833149262865303</v>
      </c>
      <c r="AI51" s="160">
        <f ca="1">AI52+AI55+AI62+SUM(AI65:AI67)</f>
        <v>6.356575211253925</v>
      </c>
      <c r="AJ51" s="160">
        <f>SUM(AJ52:AJ67)</f>
        <v>0</v>
      </c>
      <c r="AK51" s="157">
        <f ca="1">AK52+AK55+AK62+SUM(AK65:AK67)</f>
        <v>336.98973284322176</v>
      </c>
      <c r="AM51" s="147" t="s">
        <v>36</v>
      </c>
      <c r="AN51" s="710">
        <f>AN62</f>
        <v>0.038579499999999996</v>
      </c>
      <c r="AO51" s="160"/>
      <c r="AP51" s="160">
        <f ca="1">AP52+AO55+AP55+AO62+AP62+SUM(AP65:AP67)</f>
        <v>990.1551486790809</v>
      </c>
      <c r="AQ51" s="160">
        <f ca="1">AQ52+AQ55+AQ62+SUM(AQ65:AQ67)</f>
        <v>4.8666500297102</v>
      </c>
      <c r="AR51" s="160">
        <f>SUM(AR52:AR67)</f>
        <v>0</v>
      </c>
      <c r="AS51" s="160">
        <f>SUM(AS52:AS67)</f>
        <v>0</v>
      </c>
      <c r="AT51" s="160">
        <f>SUM(AT52:AT67)</f>
        <v>0</v>
      </c>
      <c r="AU51" s="160">
        <f ca="1">AU52+AU55+AU62+SUM(AU65:AU67)</f>
        <v>56.70421460466527</v>
      </c>
      <c r="AV51" s="160">
        <f ca="1">AV52+AV55+AV62+SUM(AV65:AV67)</f>
        <v>25.17840153877635</v>
      </c>
      <c r="AW51" s="160">
        <f>SUM(AW52:AW67)</f>
        <v>0</v>
      </c>
      <c r="AX51" s="157">
        <f ca="1">AX52+AX55+AX62+SUM(AX65:AX67)</f>
        <v>1076.9429943522327</v>
      </c>
      <c r="AY51" s="243">
        <f ca="1">100*AX51/AX$20</f>
        <v>25.573815779971756</v>
      </c>
      <c r="AZ51" s="4" t="s">
        <v>94</v>
      </c>
      <c r="BA51" s="243">
        <f ca="1">BA52+BA55+BA62+SUM(BA65:BA67)</f>
        <v>27.841730284403276</v>
      </c>
      <c r="BB51" t="s">
        <v>94</v>
      </c>
    </row>
    <row r="52" spans="1:54" ht="12.75">
      <c r="A52" s="112" t="s">
        <v>98</v>
      </c>
      <c r="B52" s="49"/>
      <c r="C52" s="254"/>
      <c r="D52" s="237">
        <v>8.78</v>
      </c>
      <c r="E52" s="254"/>
      <c r="F52" s="254"/>
      <c r="G52" s="254"/>
      <c r="H52" s="254"/>
      <c r="I52" s="254"/>
      <c r="J52" s="254"/>
      <c r="K52" s="254"/>
      <c r="L52" s="59">
        <v>8.78</v>
      </c>
      <c r="N52" s="3" t="s">
        <v>37</v>
      </c>
      <c r="O52" s="206">
        <v>0</v>
      </c>
      <c r="P52" s="24">
        <v>0</v>
      </c>
      <c r="Q52" s="24">
        <v>0</v>
      </c>
      <c r="R52" s="24">
        <v>0</v>
      </c>
      <c r="S52" s="280">
        <v>0</v>
      </c>
      <c r="T52" s="280">
        <v>0</v>
      </c>
      <c r="U52" s="280">
        <v>0</v>
      </c>
      <c r="V52" s="24">
        <v>0</v>
      </c>
      <c r="W52" s="24">
        <v>0</v>
      </c>
      <c r="X52" s="280">
        <v>0</v>
      </c>
      <c r="Y52" s="29"/>
      <c r="Z52" s="3" t="s">
        <v>37</v>
      </c>
      <c r="AA52" s="154">
        <f aca="true" t="shared" si="86" ref="AA52:AA53">B52+O52</f>
        <v>0</v>
      </c>
      <c r="AB52" s="154">
        <f aca="true" t="shared" si="87" ref="AB52:AB53">C52+P52</f>
        <v>0</v>
      </c>
      <c r="AC52" s="154">
        <f aca="true" t="shared" si="88" ref="AC52:AC53">D52+Q52</f>
        <v>8.78</v>
      </c>
      <c r="AD52" s="154">
        <f aca="true" t="shared" si="89" ref="AD52:AD53">E52+R52</f>
        <v>0</v>
      </c>
      <c r="AE52" s="154">
        <f aca="true" t="shared" si="90" ref="AE52:AE53">F52+S52</f>
        <v>0</v>
      </c>
      <c r="AF52" s="154">
        <f aca="true" t="shared" si="91" ref="AF52:AF53">G52+T52</f>
        <v>0</v>
      </c>
      <c r="AG52" s="154">
        <f aca="true" t="shared" si="92" ref="AG52:AG53">H52+U52</f>
        <v>0</v>
      </c>
      <c r="AH52" s="154">
        <f aca="true" t="shared" si="93" ref="AH52:AH53">I52+V52</f>
        <v>0</v>
      </c>
      <c r="AI52" s="154">
        <f aca="true" t="shared" si="94" ref="AI52:AI53">J52+W52</f>
        <v>0</v>
      </c>
      <c r="AJ52" s="154">
        <f aca="true" t="shared" si="95" ref="AJ52:AJ53">K52+X52</f>
        <v>0</v>
      </c>
      <c r="AK52" s="157">
        <f t="shared" si="10"/>
        <v>8.78</v>
      </c>
      <c r="AM52" s="148" t="s">
        <v>37</v>
      </c>
      <c r="AN52" s="1013" t="s">
        <v>122</v>
      </c>
      <c r="AO52" s="154"/>
      <c r="AP52" s="154">
        <f aca="true" t="shared" si="96" ref="AP52:AV53">AC52*AP$6</f>
        <v>27.454796599999995</v>
      </c>
      <c r="AQ52" s="154">
        <f t="shared" si="96"/>
        <v>0</v>
      </c>
      <c r="AR52" s="154">
        <f t="shared" si="96"/>
        <v>0</v>
      </c>
      <c r="AS52" s="154">
        <f t="shared" si="96"/>
        <v>0</v>
      </c>
      <c r="AT52" s="154">
        <f t="shared" si="96"/>
        <v>0</v>
      </c>
      <c r="AU52" s="154">
        <f t="shared" si="96"/>
        <v>0</v>
      </c>
      <c r="AV52" s="154">
        <f>AV$35*AI52/AI$35</f>
        <v>0</v>
      </c>
      <c r="AW52" s="154">
        <f>AW$35*AJ52/AJ$35</f>
        <v>0</v>
      </c>
      <c r="AX52" s="157">
        <f>SUM(AN52:AW52)</f>
        <v>27.454796599999995</v>
      </c>
      <c r="AY52" s="94">
        <f aca="true" t="shared" si="97" ref="AY52:AY67">100*AX52/AX$20</f>
        <v>0.6519601447867843</v>
      </c>
      <c r="AZ52" s="4" t="s">
        <v>94</v>
      </c>
      <c r="BA52" s="242">
        <f aca="true" t="shared" si="98" ref="BA52:BA67">100*((SUM(AN52:AQ52)-(BI$26/AV$35)*AV52-(BJ$26/AW$35)*AW52)/AX$19)</f>
        <v>0.751661587610846</v>
      </c>
      <c r="BB52" t="s">
        <v>94</v>
      </c>
    </row>
    <row r="53" spans="1:54" ht="13.5" thickBot="1">
      <c r="A53" s="261" t="s">
        <v>283</v>
      </c>
      <c r="B53" s="49"/>
      <c r="C53" s="254"/>
      <c r="D53" s="237">
        <v>297.34</v>
      </c>
      <c r="E53" s="254">
        <v>0.91</v>
      </c>
      <c r="F53" s="254"/>
      <c r="G53" s="254"/>
      <c r="H53" s="254"/>
      <c r="I53" s="254">
        <v>11.87</v>
      </c>
      <c r="J53" s="254">
        <v>0.004</v>
      </c>
      <c r="K53" s="254"/>
      <c r="L53" s="59">
        <v>310.12</v>
      </c>
      <c r="N53" s="3" t="s">
        <v>38</v>
      </c>
      <c r="O53" s="206">
        <v>0</v>
      </c>
      <c r="P53" s="280">
        <v>0</v>
      </c>
      <c r="Q53" s="280">
        <v>0</v>
      </c>
      <c r="R53" s="280">
        <v>0</v>
      </c>
      <c r="S53" s="280">
        <v>0</v>
      </c>
      <c r="T53" s="280">
        <v>0</v>
      </c>
      <c r="U53" s="280">
        <v>0</v>
      </c>
      <c r="V53" s="280">
        <v>0</v>
      </c>
      <c r="W53" s="280">
        <v>0</v>
      </c>
      <c r="X53" s="280">
        <v>0</v>
      </c>
      <c r="Y53" s="29"/>
      <c r="Z53" s="3" t="s">
        <v>38</v>
      </c>
      <c r="AA53" s="154">
        <f t="shared" si="86"/>
        <v>0</v>
      </c>
      <c r="AB53" s="154">
        <f t="shared" si="87"/>
        <v>0</v>
      </c>
      <c r="AC53" s="154">
        <f t="shared" si="88"/>
        <v>297.34</v>
      </c>
      <c r="AD53" s="154">
        <f t="shared" si="89"/>
        <v>0.91</v>
      </c>
      <c r="AE53" s="154">
        <f t="shared" si="90"/>
        <v>0</v>
      </c>
      <c r="AF53" s="154">
        <f t="shared" si="91"/>
        <v>0</v>
      </c>
      <c r="AG53" s="154">
        <f t="shared" si="92"/>
        <v>0</v>
      </c>
      <c r="AH53" s="154">
        <f t="shared" si="93"/>
        <v>11.87</v>
      </c>
      <c r="AI53" s="154">
        <f t="shared" si="94"/>
        <v>0.004</v>
      </c>
      <c r="AJ53" s="154">
        <f t="shared" si="95"/>
        <v>0</v>
      </c>
      <c r="AK53" s="774">
        <f t="shared" si="10"/>
        <v>310.124</v>
      </c>
      <c r="AM53" s="3" t="s">
        <v>38</v>
      </c>
      <c r="AN53" s="1044" t="s">
        <v>122</v>
      </c>
      <c r="AO53" s="154"/>
      <c r="AP53" s="154">
        <f t="shared" si="96"/>
        <v>929.7732597999998</v>
      </c>
      <c r="AQ53" s="154">
        <f t="shared" si="96"/>
        <v>2.0694855999999997</v>
      </c>
      <c r="AR53" s="154"/>
      <c r="AS53" s="154"/>
      <c r="AT53" s="154"/>
      <c r="AU53" s="154">
        <f t="shared" si="96"/>
        <v>56.880802599999996</v>
      </c>
      <c r="AV53" s="154">
        <f t="shared" si="96"/>
        <v>0.014731274383377405</v>
      </c>
      <c r="AW53" s="154"/>
      <c r="AX53" s="157">
        <f aca="true" t="shared" si="99" ref="AX53">SUM(AN53:AW53)</f>
        <v>988.7382792743832</v>
      </c>
      <c r="AY53" s="94">
        <f ca="1" t="shared" si="97"/>
        <v>23.479247036634867</v>
      </c>
      <c r="AZ53" s="4" t="s">
        <v>94</v>
      </c>
      <c r="BA53" s="242">
        <f ca="1" t="shared" si="98"/>
        <v>25.512482444656865</v>
      </c>
      <c r="BB53" t="s">
        <v>94</v>
      </c>
    </row>
    <row r="54" spans="1:53" ht="13.5" thickBot="1">
      <c r="A54" s="853"/>
      <c r="B54" s="854"/>
      <c r="C54" s="855" t="s">
        <v>258</v>
      </c>
      <c r="D54" s="856" t="s">
        <v>260</v>
      </c>
      <c r="E54" s="857" t="s">
        <v>120</v>
      </c>
      <c r="F54" s="1066" t="s">
        <v>365</v>
      </c>
      <c r="G54" s="858"/>
      <c r="H54" s="858"/>
      <c r="I54" s="859" t="s">
        <v>282</v>
      </c>
      <c r="J54" s="860" t="s">
        <v>257</v>
      </c>
      <c r="K54" s="861"/>
      <c r="L54" s="214"/>
      <c r="N54" s="218"/>
      <c r="O54" s="206">
        <v>0</v>
      </c>
      <c r="P54" s="1126"/>
      <c r="Q54" s="1126"/>
      <c r="R54" s="1126"/>
      <c r="S54" s="1126"/>
      <c r="T54" s="1126"/>
      <c r="U54" s="1126"/>
      <c r="V54" s="1126"/>
      <c r="W54" s="1126"/>
      <c r="X54" s="280">
        <v>0</v>
      </c>
      <c r="Y54" s="29"/>
      <c r="Z54" s="218"/>
      <c r="AA54" s="207"/>
      <c r="AB54" s="882" t="s">
        <v>258</v>
      </c>
      <c r="AC54" s="883" t="s">
        <v>260</v>
      </c>
      <c r="AD54" s="884" t="s">
        <v>120</v>
      </c>
      <c r="AE54" s="1070" t="s">
        <v>365</v>
      </c>
      <c r="AF54" s="885"/>
      <c r="AG54" s="885"/>
      <c r="AH54" s="886" t="s">
        <v>282</v>
      </c>
      <c r="AI54" s="887" t="s">
        <v>257</v>
      </c>
      <c r="AJ54" s="888"/>
      <c r="AK54" s="889"/>
      <c r="AL54" s="890"/>
      <c r="AM54" s="218"/>
      <c r="AN54" s="1014"/>
      <c r="AO54" s="1015" t="s">
        <v>258</v>
      </c>
      <c r="AP54" s="1016" t="s">
        <v>260</v>
      </c>
      <c r="AQ54" s="1017" t="s">
        <v>120</v>
      </c>
      <c r="AR54" s="1070" t="s">
        <v>365</v>
      </c>
      <c r="AS54" s="1018"/>
      <c r="AT54" s="1018"/>
      <c r="AU54" s="1019" t="s">
        <v>282</v>
      </c>
      <c r="AV54" s="1017" t="s">
        <v>257</v>
      </c>
      <c r="AW54" s="888"/>
      <c r="AX54" s="889"/>
      <c r="AY54" s="94">
        <f ca="1" t="shared" si="97"/>
        <v>0</v>
      </c>
      <c r="AZ54" s="4"/>
      <c r="BA54" s="242"/>
    </row>
    <row r="55" spans="1:54" ht="12.75">
      <c r="A55" s="853" t="s">
        <v>284</v>
      </c>
      <c r="B55" s="854"/>
      <c r="C55" s="967"/>
      <c r="D55" s="967"/>
      <c r="E55" s="968"/>
      <c r="F55" s="968"/>
      <c r="G55" s="861"/>
      <c r="H55" s="861"/>
      <c r="I55" s="967"/>
      <c r="J55" s="968"/>
      <c r="K55" s="861"/>
      <c r="L55" s="965"/>
      <c r="N55" s="911" t="s">
        <v>38</v>
      </c>
      <c r="O55" s="206">
        <v>0</v>
      </c>
      <c r="P55" s="702"/>
      <c r="Q55" s="702"/>
      <c r="R55" s="702"/>
      <c r="S55" s="702"/>
      <c r="T55" s="702"/>
      <c r="U55" s="702"/>
      <c r="V55" s="702"/>
      <c r="W55" s="702"/>
      <c r="X55" s="280">
        <v>0</v>
      </c>
      <c r="Y55" s="29"/>
      <c r="Z55" s="911" t="s">
        <v>38</v>
      </c>
      <c r="AA55" s="207">
        <v>0</v>
      </c>
      <c r="AB55" s="1020">
        <f ca="1">AB56+AB61</f>
        <v>125.80008592114721</v>
      </c>
      <c r="AC55" s="1020">
        <f aca="true" t="shared" si="100" ref="AC55:AD55">AC56+AC61</f>
        <v>171.61994547636573</v>
      </c>
      <c r="AD55" s="1021">
        <f ca="1" t="shared" si="100"/>
        <v>0.8699769715895982</v>
      </c>
      <c r="AE55" s="1021"/>
      <c r="AF55" s="970"/>
      <c r="AG55" s="970"/>
      <c r="AH55" s="1020">
        <f aca="true" t="shared" si="101" ref="AH55:AI55">AH56+AH61</f>
        <v>11.833149262865303</v>
      </c>
      <c r="AI55" s="971">
        <f ca="1" t="shared" si="101"/>
        <v>0.026575211253925077</v>
      </c>
      <c r="AJ55" s="888"/>
      <c r="AK55" s="889">
        <f ca="1" t="shared" si="10"/>
        <v>310.1497328432218</v>
      </c>
      <c r="AL55" s="890"/>
      <c r="AM55" s="911" t="s">
        <v>38</v>
      </c>
      <c r="AN55" s="1014">
        <v>0</v>
      </c>
      <c r="AO55" s="1020">
        <f ca="1">AO56+AO61</f>
        <v>393.3730946728497</v>
      </c>
      <c r="AP55" s="1020">
        <f ca="1">AP56+AP61</f>
        <v>536.6504209062313</v>
      </c>
      <c r="AQ55" s="1021">
        <f ca="1">AQ56+AQ61</f>
        <v>1.9784668297102004</v>
      </c>
      <c r="AR55" s="971"/>
      <c r="AS55" s="970"/>
      <c r="AT55" s="970"/>
      <c r="AU55" s="1020">
        <f ca="1">AU56+AU61</f>
        <v>56.70421460466527</v>
      </c>
      <c r="AV55" s="1021">
        <f ca="1">AV56+AV61</f>
        <v>0.09787168219444736</v>
      </c>
      <c r="AW55" s="970"/>
      <c r="AX55" s="1254">
        <f ca="1">AX56+AX61</f>
        <v>988.8040686956508</v>
      </c>
      <c r="AY55" s="241">
        <f ca="1" t="shared" si="97"/>
        <v>23.480809316670662</v>
      </c>
      <c r="AZ55" s="917" t="s">
        <v>94</v>
      </c>
      <c r="BA55" s="241">
        <f ca="1" t="shared" si="98"/>
        <v>25.51881938243427</v>
      </c>
      <c r="BB55" s="918" t="s">
        <v>94</v>
      </c>
    </row>
    <row r="56" spans="1:54" ht="12.75">
      <c r="A56" s="864" t="s">
        <v>127</v>
      </c>
      <c r="B56" s="865"/>
      <c r="C56" s="866"/>
      <c r="D56" s="866"/>
      <c r="E56" s="969"/>
      <c r="F56" s="969"/>
      <c r="G56" s="865"/>
      <c r="H56" s="865"/>
      <c r="I56" s="866"/>
      <c r="J56" s="969"/>
      <c r="K56" s="865"/>
      <c r="L56" s="966"/>
      <c r="N56" s="911" t="s">
        <v>127</v>
      </c>
      <c r="O56" s="220">
        <v>0</v>
      </c>
      <c r="P56" s="702"/>
      <c r="Q56" s="702"/>
      <c r="R56" s="702"/>
      <c r="S56" s="702"/>
      <c r="T56" s="702"/>
      <c r="U56" s="702"/>
      <c r="V56" s="702"/>
      <c r="W56" s="702"/>
      <c r="X56" s="280">
        <v>0</v>
      </c>
      <c r="Y56" s="29"/>
      <c r="Z56" s="911" t="s">
        <v>127</v>
      </c>
      <c r="AA56" s="709" t="s">
        <v>122</v>
      </c>
      <c r="AB56" s="991">
        <f ca="1">AB57+AB58</f>
        <v>65.13810182765515</v>
      </c>
      <c r="AC56" s="991">
        <f aca="true" t="shared" si="102" ref="AC56:AD56">AC57+AC58</f>
        <v>171.61994547636573</v>
      </c>
      <c r="AD56" s="1023">
        <f ca="1" t="shared" si="102"/>
        <v>0.8699769715895982</v>
      </c>
      <c r="AE56" s="1023"/>
      <c r="AF56" s="970">
        <f aca="true" t="shared" si="103" ref="AF56">T56*G56</f>
        <v>0</v>
      </c>
      <c r="AG56" s="970">
        <f aca="true" t="shared" si="104" ref="AG56">U56*H56</f>
        <v>0</v>
      </c>
      <c r="AH56" s="991">
        <f aca="true" t="shared" si="105" ref="AH56:AI56">AH57+AH58</f>
        <v>9.338460692648816</v>
      </c>
      <c r="AI56" s="972">
        <f ca="1" t="shared" si="105"/>
        <v>0.026575211253925077</v>
      </c>
      <c r="AJ56" s="888">
        <f aca="true" t="shared" si="106" ref="AJ56">X56*K56</f>
        <v>0</v>
      </c>
      <c r="AK56" s="889">
        <f ca="1" t="shared" si="10"/>
        <v>246.9930601795132</v>
      </c>
      <c r="AL56" s="890"/>
      <c r="AM56" s="911" t="s">
        <v>127</v>
      </c>
      <c r="AN56" s="1022" t="s">
        <v>122</v>
      </c>
      <c r="AO56" s="991">
        <f ca="1">SUM(AO57:AO58)</f>
        <v>203.6848902720228</v>
      </c>
      <c r="AP56" s="991">
        <f ca="1">SUM(AP57:AP58)</f>
        <v>536.6504209062313</v>
      </c>
      <c r="AQ56" s="1023">
        <f ca="1">SUM(AQ57:AQ58)</f>
        <v>1.9784668297102004</v>
      </c>
      <c r="AR56" s="972"/>
      <c r="AS56" s="970"/>
      <c r="AT56" s="970"/>
      <c r="AU56" s="991">
        <f ca="1">SUM(AU57:AU58)</f>
        <v>44.749716869959265</v>
      </c>
      <c r="AV56" s="1023">
        <f ca="1">SUM(AV57:AV58)</f>
        <v>0.09787168219444736</v>
      </c>
      <c r="AW56" s="970"/>
      <c r="AX56" s="1254">
        <f ca="1">SUM(AX57:AX58)</f>
        <v>787.1613665601179</v>
      </c>
      <c r="AY56" s="241">
        <f ca="1" t="shared" si="97"/>
        <v>18.69246550940019</v>
      </c>
      <c r="AZ56" s="917" t="s">
        <v>94</v>
      </c>
      <c r="BA56" s="241">
        <f ca="1" t="shared" si="98"/>
        <v>20.32550693695157</v>
      </c>
      <c r="BB56" s="918" t="s">
        <v>94</v>
      </c>
    </row>
    <row r="57" spans="1:54" ht="12.75">
      <c r="A57" s="871" t="s">
        <v>128</v>
      </c>
      <c r="B57" s="872"/>
      <c r="C57" s="873"/>
      <c r="D57" s="874"/>
      <c r="E57" s="875"/>
      <c r="F57" s="1067"/>
      <c r="G57" s="872"/>
      <c r="H57" s="872"/>
      <c r="I57" s="876"/>
      <c r="J57" s="875"/>
      <c r="K57" s="872"/>
      <c r="L57" s="223"/>
      <c r="N57" s="911" t="s">
        <v>128</v>
      </c>
      <c r="O57" s="220">
        <v>0</v>
      </c>
      <c r="P57" s="282"/>
      <c r="Q57" s="282"/>
      <c r="R57" s="282"/>
      <c r="S57" s="702"/>
      <c r="T57" s="702"/>
      <c r="U57" s="702"/>
      <c r="V57" s="282"/>
      <c r="W57" s="282"/>
      <c r="X57" s="280">
        <v>0</v>
      </c>
      <c r="Y57" s="29"/>
      <c r="Z57" s="911" t="s">
        <v>128</v>
      </c>
      <c r="AA57" s="207">
        <f aca="true" t="shared" si="107" ref="AA57:AA67">B57+O57</f>
        <v>0</v>
      </c>
      <c r="AB57" s="1120">
        <f ca="1">H76*(C84+P84)*P101/1000000</f>
        <v>10.565042544321512</v>
      </c>
      <c r="AC57" s="1121">
        <v>0</v>
      </c>
      <c r="AD57" s="1122">
        <f ca="1">H76*(E84+R84)*R101/1000000</f>
        <v>0.8699769715895982</v>
      </c>
      <c r="AE57" s="972">
        <f aca="true" t="shared" si="108" ref="AE57">AE84*AE101/1000000</f>
        <v>0</v>
      </c>
      <c r="AF57" s="888">
        <f aca="true" t="shared" si="109" ref="AF57:AF67">G57+T57</f>
        <v>0</v>
      </c>
      <c r="AG57" s="888">
        <f aca="true" t="shared" si="110" ref="AG57:AG67">H57+U57</f>
        <v>0</v>
      </c>
      <c r="AH57" s="1123">
        <f ca="1">H76*(C84+P84)*V101/1000000</f>
        <v>0.43448118740312314</v>
      </c>
      <c r="AI57" s="1122">
        <f ca="1">(J84+W84)*W101/1000000</f>
        <v>0.018484141524404335</v>
      </c>
      <c r="AJ57" s="888">
        <f aca="true" t="shared" si="111" ref="AJ57:AJ67">K57+X57</f>
        <v>0</v>
      </c>
      <c r="AK57" s="889">
        <f ca="1" t="shared" si="10"/>
        <v>11.887984844838638</v>
      </c>
      <c r="AL57" s="890"/>
      <c r="AM57" s="911" t="s">
        <v>128</v>
      </c>
      <c r="AN57" s="1022">
        <f aca="true" t="shared" si="112" ref="AN57:AN61">AA57*AN$6</f>
        <v>0</v>
      </c>
      <c r="AO57" s="897">
        <f ca="1">AB57*AO$6</f>
        <v>33.036571084817034</v>
      </c>
      <c r="AP57" s="898">
        <f aca="true" t="shared" si="113" ref="AP57:AP58">AC57*AP$6</f>
        <v>0</v>
      </c>
      <c r="AQ57" s="895">
        <f aca="true" t="shared" si="114" ref="AQ57:AQ58">AD57*AQ$6</f>
        <v>1.9784668297102004</v>
      </c>
      <c r="AR57" s="972"/>
      <c r="AS57" s="888"/>
      <c r="AT57" s="888"/>
      <c r="AU57" s="899">
        <f ca="1">AH57*AU$6</f>
        <v>2.0820251604120177</v>
      </c>
      <c r="AV57" s="895">
        <f ca="1">AI57*AV$6</f>
        <v>0.06807374013429504</v>
      </c>
      <c r="AW57" s="888"/>
      <c r="AX57" s="889">
        <f aca="true" t="shared" si="115" ref="AX57:AX61">SUM(AN57:AW57)</f>
        <v>37.165136815073545</v>
      </c>
      <c r="AY57" s="241">
        <f ca="1" t="shared" si="97"/>
        <v>0.8825484425179098</v>
      </c>
      <c r="AZ57" s="917" t="s">
        <v>94</v>
      </c>
      <c r="BA57" s="241">
        <f ca="1" t="shared" si="98"/>
        <v>0.9602660148266267</v>
      </c>
      <c r="BB57" s="918" t="s">
        <v>94</v>
      </c>
    </row>
    <row r="58" spans="1:54" ht="12.75">
      <c r="A58" s="871" t="s">
        <v>285</v>
      </c>
      <c r="B58" s="872"/>
      <c r="C58" s="873"/>
      <c r="D58" s="874"/>
      <c r="E58" s="875"/>
      <c r="F58" s="1067"/>
      <c r="G58" s="872"/>
      <c r="H58" s="872"/>
      <c r="I58" s="876"/>
      <c r="J58" s="875"/>
      <c r="K58" s="872"/>
      <c r="L58" s="223"/>
      <c r="N58" s="911" t="s">
        <v>129</v>
      </c>
      <c r="O58" s="220">
        <v>0</v>
      </c>
      <c r="P58" s="282"/>
      <c r="Q58" s="282"/>
      <c r="R58" s="282"/>
      <c r="S58" s="702"/>
      <c r="T58" s="702"/>
      <c r="U58" s="702"/>
      <c r="V58" s="282"/>
      <c r="W58" s="282"/>
      <c r="X58" s="280">
        <v>0</v>
      </c>
      <c r="Y58" s="29"/>
      <c r="Z58" s="911" t="s">
        <v>129</v>
      </c>
      <c r="AA58" s="207">
        <f t="shared" si="107"/>
        <v>0</v>
      </c>
      <c r="AB58" s="1120">
        <f ca="1">H76*(C85+P85)*P102/1000000</f>
        <v>54.57305928333364</v>
      </c>
      <c r="AC58" s="1121">
        <f ca="1">H76*(D85+Q85)*Q102/1000000</f>
        <v>171.61994547636573</v>
      </c>
      <c r="AD58" s="1122">
        <v>0</v>
      </c>
      <c r="AE58" s="972">
        <f aca="true" t="shared" si="116" ref="AE58">AE85*AE102/1000000</f>
        <v>0</v>
      </c>
      <c r="AF58" s="888">
        <f t="shared" si="109"/>
        <v>0</v>
      </c>
      <c r="AG58" s="888">
        <f t="shared" si="110"/>
        <v>0</v>
      </c>
      <c r="AH58" s="1123">
        <f ca="1">H76*(C85+P85+D85+Q85)*V102/1000000</f>
        <v>8.903979505245692</v>
      </c>
      <c r="AI58" s="1122">
        <f ca="1">(J85+W85)*W102/1000000</f>
        <v>0.008091069729520744</v>
      </c>
      <c r="AJ58" s="888">
        <f t="shared" si="111"/>
        <v>0</v>
      </c>
      <c r="AK58" s="889">
        <f ca="1" t="shared" si="10"/>
        <v>235.10507533467458</v>
      </c>
      <c r="AL58" s="890"/>
      <c r="AM58" s="911" t="s">
        <v>129</v>
      </c>
      <c r="AN58" s="1022">
        <f t="shared" si="112"/>
        <v>0</v>
      </c>
      <c r="AO58" s="897">
        <f aca="true" t="shared" si="117" ref="AO58">AB58*AO$6</f>
        <v>170.64831918720577</v>
      </c>
      <c r="AP58" s="898">
        <f ca="1" t="shared" si="113"/>
        <v>536.6504209062313</v>
      </c>
      <c r="AQ58" s="895">
        <f t="shared" si="114"/>
        <v>0</v>
      </c>
      <c r="AR58" s="972"/>
      <c r="AS58" s="888"/>
      <c r="AT58" s="888"/>
      <c r="AU58" s="899">
        <f aca="true" t="shared" si="118" ref="AU58:AV60">AH58*AU$6</f>
        <v>42.66769170954725</v>
      </c>
      <c r="AV58" s="895">
        <f ca="1" t="shared" si="118"/>
        <v>0.02979794206015232</v>
      </c>
      <c r="AW58" s="888"/>
      <c r="AX58" s="889">
        <f ca="1" t="shared" si="115"/>
        <v>749.9962297450444</v>
      </c>
      <c r="AY58" s="241">
        <f ca="1" t="shared" si="97"/>
        <v>17.80991706688228</v>
      </c>
      <c r="AZ58" s="917" t="s">
        <v>94</v>
      </c>
      <c r="BA58" s="241">
        <f ca="1" t="shared" si="98"/>
        <v>19.36524092212494</v>
      </c>
      <c r="BB58" s="918" t="s">
        <v>94</v>
      </c>
    </row>
    <row r="59" spans="1:54" ht="12.75">
      <c r="A59" s="871" t="s">
        <v>134</v>
      </c>
      <c r="B59" s="872"/>
      <c r="C59" s="873"/>
      <c r="D59" s="874"/>
      <c r="E59" s="875"/>
      <c r="F59" s="1067"/>
      <c r="G59" s="872"/>
      <c r="H59" s="872"/>
      <c r="I59" s="876"/>
      <c r="J59" s="875"/>
      <c r="K59" s="872"/>
      <c r="L59" s="223"/>
      <c r="N59" s="911" t="s">
        <v>130</v>
      </c>
      <c r="O59" s="220">
        <v>0</v>
      </c>
      <c r="P59" s="702"/>
      <c r="Q59" s="702"/>
      <c r="R59" s="702"/>
      <c r="S59" s="702"/>
      <c r="T59" s="702"/>
      <c r="U59" s="702"/>
      <c r="V59" s="702"/>
      <c r="W59" s="702"/>
      <c r="X59" s="280">
        <v>0</v>
      </c>
      <c r="Y59" s="29"/>
      <c r="Z59" s="911" t="s">
        <v>130</v>
      </c>
      <c r="AA59" s="207">
        <f t="shared" si="107"/>
        <v>0</v>
      </c>
      <c r="AB59" s="897">
        <f aca="true" t="shared" si="119" ref="AB59:AB67">C59+P59</f>
        <v>0</v>
      </c>
      <c r="AC59" s="898">
        <f aca="true" t="shared" si="120" ref="AC59:AC67">D59+Q59</f>
        <v>0</v>
      </c>
      <c r="AD59" s="895">
        <f aca="true" t="shared" si="121" ref="AD59:AD67">E59+R59</f>
        <v>0</v>
      </c>
      <c r="AE59" s="972">
        <f aca="true" t="shared" si="122" ref="AE59">AE86*AE103/1000000</f>
        <v>0</v>
      </c>
      <c r="AF59" s="888">
        <f t="shared" si="109"/>
        <v>0</v>
      </c>
      <c r="AG59" s="888">
        <f t="shared" si="110"/>
        <v>0</v>
      </c>
      <c r="AH59" s="899">
        <f aca="true" t="shared" si="123" ref="AH59:AH67">I59+V59</f>
        <v>0</v>
      </c>
      <c r="AI59" s="895">
        <f aca="true" t="shared" si="124" ref="AI59:AI67">J59+W59</f>
        <v>0</v>
      </c>
      <c r="AJ59" s="888">
        <f t="shared" si="111"/>
        <v>0</v>
      </c>
      <c r="AK59" s="889">
        <f t="shared" si="10"/>
        <v>0</v>
      </c>
      <c r="AL59" s="890"/>
      <c r="AM59" s="911" t="s">
        <v>130</v>
      </c>
      <c r="AN59" s="1022">
        <f t="shared" si="112"/>
        <v>0</v>
      </c>
      <c r="AO59" s="897">
        <f aca="true" t="shared" si="125" ref="AO59:AO62">AB59*AO$6</f>
        <v>0</v>
      </c>
      <c r="AP59" s="898">
        <f aca="true" t="shared" si="126" ref="AP59:AP60">AC59*AP$6</f>
        <v>0</v>
      </c>
      <c r="AQ59" s="895">
        <f aca="true" t="shared" si="127" ref="AQ59:AQ60">AD59*AQ$6</f>
        <v>0</v>
      </c>
      <c r="AR59" s="972"/>
      <c r="AS59" s="888"/>
      <c r="AT59" s="888"/>
      <c r="AU59" s="899">
        <f t="shared" si="118"/>
        <v>0</v>
      </c>
      <c r="AV59" s="895">
        <f aca="true" t="shared" si="128" ref="AV59:AV67">AV$35*AI59/AI$35</f>
        <v>0</v>
      </c>
      <c r="AW59" s="888"/>
      <c r="AX59" s="889">
        <f t="shared" si="115"/>
        <v>0</v>
      </c>
      <c r="AY59" s="241">
        <f ca="1" t="shared" si="97"/>
        <v>0</v>
      </c>
      <c r="AZ59" s="917"/>
      <c r="BA59" s="241">
        <f ca="1" t="shared" si="98"/>
        <v>0</v>
      </c>
      <c r="BB59" s="918"/>
    </row>
    <row r="60" spans="1:54" ht="12.75">
      <c r="A60" s="871" t="s">
        <v>131</v>
      </c>
      <c r="B60" s="872"/>
      <c r="C60" s="873"/>
      <c r="D60" s="874"/>
      <c r="E60" s="875"/>
      <c r="F60" s="1067"/>
      <c r="G60" s="872"/>
      <c r="H60" s="872"/>
      <c r="I60" s="876"/>
      <c r="J60" s="875"/>
      <c r="K60" s="872"/>
      <c r="L60" s="260"/>
      <c r="N60" s="911" t="s">
        <v>131</v>
      </c>
      <c r="O60" s="220">
        <v>0</v>
      </c>
      <c r="P60" s="702"/>
      <c r="Q60" s="702"/>
      <c r="R60" s="702"/>
      <c r="S60" s="702"/>
      <c r="T60" s="702"/>
      <c r="U60" s="702"/>
      <c r="V60" s="702"/>
      <c r="W60" s="702"/>
      <c r="X60" s="280">
        <v>0</v>
      </c>
      <c r="Y60" s="29"/>
      <c r="Z60" s="911" t="s">
        <v>131</v>
      </c>
      <c r="AA60" s="207">
        <f t="shared" si="107"/>
        <v>0</v>
      </c>
      <c r="AB60" s="897">
        <f t="shared" si="119"/>
        <v>0</v>
      </c>
      <c r="AC60" s="898">
        <f t="shared" si="120"/>
        <v>0</v>
      </c>
      <c r="AD60" s="895">
        <f t="shared" si="121"/>
        <v>0</v>
      </c>
      <c r="AE60" s="972">
        <f aca="true" t="shared" si="129" ref="AE60">AE87*AE104/1000000</f>
        <v>0</v>
      </c>
      <c r="AF60" s="888">
        <f t="shared" si="109"/>
        <v>0</v>
      </c>
      <c r="AG60" s="888">
        <f t="shared" si="110"/>
        <v>0</v>
      </c>
      <c r="AH60" s="899">
        <f t="shared" si="123"/>
        <v>0</v>
      </c>
      <c r="AI60" s="895">
        <f t="shared" si="124"/>
        <v>0</v>
      </c>
      <c r="AJ60" s="888">
        <f t="shared" si="111"/>
        <v>0</v>
      </c>
      <c r="AK60" s="889">
        <f t="shared" si="10"/>
        <v>0</v>
      </c>
      <c r="AL60" s="890"/>
      <c r="AM60" s="911" t="s">
        <v>131</v>
      </c>
      <c r="AN60" s="1022">
        <f t="shared" si="112"/>
        <v>0</v>
      </c>
      <c r="AO60" s="897">
        <f t="shared" si="125"/>
        <v>0</v>
      </c>
      <c r="AP60" s="898">
        <f t="shared" si="126"/>
        <v>0</v>
      </c>
      <c r="AQ60" s="895">
        <f t="shared" si="127"/>
        <v>0</v>
      </c>
      <c r="AR60" s="972"/>
      <c r="AS60" s="888"/>
      <c r="AT60" s="888"/>
      <c r="AU60" s="899">
        <f t="shared" si="118"/>
        <v>0</v>
      </c>
      <c r="AV60" s="895">
        <f t="shared" si="128"/>
        <v>0</v>
      </c>
      <c r="AW60" s="888"/>
      <c r="AX60" s="889">
        <f t="shared" si="115"/>
        <v>0</v>
      </c>
      <c r="AY60" s="241">
        <f ca="1" t="shared" si="97"/>
        <v>0</v>
      </c>
      <c r="AZ60" s="917"/>
      <c r="BA60" s="241">
        <f ca="1" t="shared" si="98"/>
        <v>0</v>
      </c>
      <c r="BB60" s="918"/>
    </row>
    <row r="61" spans="1:54" ht="12.75">
      <c r="A61" s="864" t="s">
        <v>132</v>
      </c>
      <c r="B61" s="865"/>
      <c r="C61" s="866"/>
      <c r="D61" s="867"/>
      <c r="E61" s="868"/>
      <c r="F61" s="969"/>
      <c r="G61" s="865"/>
      <c r="H61" s="865"/>
      <c r="I61" s="869"/>
      <c r="J61" s="868"/>
      <c r="K61" s="865"/>
      <c r="L61" s="222"/>
      <c r="N61" s="911" t="s">
        <v>132</v>
      </c>
      <c r="O61" s="220">
        <v>0</v>
      </c>
      <c r="P61" s="282"/>
      <c r="Q61" s="702"/>
      <c r="R61" s="702"/>
      <c r="S61" s="702"/>
      <c r="T61" s="702"/>
      <c r="U61" s="702"/>
      <c r="V61" s="282"/>
      <c r="W61" s="702"/>
      <c r="X61" s="280">
        <v>0</v>
      </c>
      <c r="Y61" s="29"/>
      <c r="Z61" s="911" t="s">
        <v>132</v>
      </c>
      <c r="AA61" s="207">
        <f t="shared" si="107"/>
        <v>0</v>
      </c>
      <c r="AB61" s="1120">
        <f ca="1">H76*(C88+P88)*P105/1000000</f>
        <v>60.661984093492066</v>
      </c>
      <c r="AC61" s="898">
        <f t="shared" si="120"/>
        <v>0</v>
      </c>
      <c r="AD61" s="895">
        <f t="shared" si="121"/>
        <v>0</v>
      </c>
      <c r="AE61" s="972">
        <f>AE88*AE105/1000000</f>
        <v>0</v>
      </c>
      <c r="AF61" s="888">
        <f t="shared" si="109"/>
        <v>0</v>
      </c>
      <c r="AG61" s="888">
        <f t="shared" si="110"/>
        <v>0</v>
      </c>
      <c r="AH61" s="1123">
        <f ca="1">H76*(C88+P88)*V105/1000000</f>
        <v>2.494688570216488</v>
      </c>
      <c r="AI61" s="895">
        <f t="shared" si="124"/>
        <v>0</v>
      </c>
      <c r="AJ61" s="888">
        <f t="shared" si="111"/>
        <v>0</v>
      </c>
      <c r="AK61" s="889">
        <f ca="1" t="shared" si="10"/>
        <v>63.156672663708555</v>
      </c>
      <c r="AL61" s="890"/>
      <c r="AM61" s="911" t="s">
        <v>132</v>
      </c>
      <c r="AN61" s="1022">
        <f t="shared" si="112"/>
        <v>0</v>
      </c>
      <c r="AO61" s="897">
        <f ca="1">AB61*AO$6</f>
        <v>189.68820440082686</v>
      </c>
      <c r="AP61" s="898"/>
      <c r="AQ61" s="895"/>
      <c r="AR61" s="972"/>
      <c r="AS61" s="888"/>
      <c r="AT61" s="888"/>
      <c r="AU61" s="899">
        <f ca="1">AH61*AU$6</f>
        <v>11.954497734706004</v>
      </c>
      <c r="AV61" s="895">
        <f t="shared" si="128"/>
        <v>0</v>
      </c>
      <c r="AW61" s="888"/>
      <c r="AX61" s="889">
        <f ca="1" t="shared" si="115"/>
        <v>201.64270213553286</v>
      </c>
      <c r="AY61" s="241">
        <f ca="1" t="shared" si="97"/>
        <v>4.788343807270474</v>
      </c>
      <c r="AZ61" s="917" t="s">
        <v>94</v>
      </c>
      <c r="BA61" s="241">
        <f ca="1" t="shared" si="98"/>
        <v>5.193312445482704</v>
      </c>
      <c r="BB61" s="918" t="s">
        <v>94</v>
      </c>
    </row>
    <row r="62" spans="1:54" ht="12.75">
      <c r="A62" s="48" t="s">
        <v>39</v>
      </c>
      <c r="B62" s="49">
        <v>0.01</v>
      </c>
      <c r="C62" s="617">
        <v>2.78</v>
      </c>
      <c r="D62" s="231"/>
      <c r="E62" s="618"/>
      <c r="F62" s="1068"/>
      <c r="G62" s="254"/>
      <c r="H62" s="254"/>
      <c r="I62" s="619">
        <f>I63+I64</f>
        <v>0</v>
      </c>
      <c r="J62" s="618">
        <v>4.63</v>
      </c>
      <c r="K62" s="254"/>
      <c r="L62" s="55">
        <v>7.41</v>
      </c>
      <c r="N62" s="3" t="s">
        <v>39</v>
      </c>
      <c r="O62" s="24">
        <v>0</v>
      </c>
      <c r="P62" s="702"/>
      <c r="Q62" s="702"/>
      <c r="R62" s="702"/>
      <c r="S62" s="702"/>
      <c r="T62" s="702"/>
      <c r="U62" s="702"/>
      <c r="V62" s="702"/>
      <c r="W62" s="702"/>
      <c r="X62" s="280">
        <v>0</v>
      </c>
      <c r="Y62" s="29"/>
      <c r="Z62" s="3" t="s">
        <v>39</v>
      </c>
      <c r="AA62" s="60">
        <f t="shared" si="107"/>
        <v>0.01</v>
      </c>
      <c r="AB62" s="623">
        <f t="shared" si="119"/>
        <v>2.78</v>
      </c>
      <c r="AC62" s="626">
        <f t="shared" si="120"/>
        <v>0</v>
      </c>
      <c r="AD62" s="624">
        <f t="shared" si="121"/>
        <v>0</v>
      </c>
      <c r="AE62" s="1071"/>
      <c r="AF62" s="154">
        <f t="shared" si="109"/>
        <v>0</v>
      </c>
      <c r="AG62" s="154">
        <f t="shared" si="110"/>
        <v>0</v>
      </c>
      <c r="AH62" s="625">
        <f t="shared" si="123"/>
        <v>0</v>
      </c>
      <c r="AI62" s="624">
        <f t="shared" si="124"/>
        <v>4.63</v>
      </c>
      <c r="AJ62" s="154">
        <f t="shared" si="111"/>
        <v>0</v>
      </c>
      <c r="AK62" s="157">
        <f t="shared" si="10"/>
        <v>7.42</v>
      </c>
      <c r="AM62" s="3" t="s">
        <v>39</v>
      </c>
      <c r="AN62" s="154">
        <f>AA62*AN$6</f>
        <v>0.038579499999999996</v>
      </c>
      <c r="AO62" s="1024">
        <f t="shared" si="125"/>
        <v>8.692976599999998</v>
      </c>
      <c r="AP62" s="1025"/>
      <c r="AQ62" s="1026"/>
      <c r="AR62" s="1071"/>
      <c r="AS62" s="709"/>
      <c r="AT62" s="709"/>
      <c r="AU62" s="1027">
        <f aca="true" t="shared" si="130" ref="AU62">AH62*AU$6</f>
        <v>0</v>
      </c>
      <c r="AV62" s="1026">
        <f t="shared" si="128"/>
        <v>18.34484253332926</v>
      </c>
      <c r="AW62" s="709"/>
      <c r="AX62" s="157">
        <f>SUM(AN62:AW62)</f>
        <v>27.07639863332926</v>
      </c>
      <c r="AY62" s="94">
        <f ca="1" t="shared" si="97"/>
        <v>0.6429744510760658</v>
      </c>
      <c r="AZ62" s="4" t="s">
        <v>94</v>
      </c>
      <c r="BA62" s="242">
        <f ca="1" t="shared" si="98"/>
        <v>0.6753480371267394</v>
      </c>
      <c r="BB62" t="s">
        <v>94</v>
      </c>
    </row>
    <row r="63" spans="1:54" ht="12.75">
      <c r="A63" s="864" t="s">
        <v>127</v>
      </c>
      <c r="B63" s="865"/>
      <c r="C63" s="866"/>
      <c r="D63" s="867"/>
      <c r="E63" s="868"/>
      <c r="F63" s="969"/>
      <c r="G63" s="865"/>
      <c r="H63" s="865"/>
      <c r="I63" s="869"/>
      <c r="J63" s="868"/>
      <c r="K63" s="865"/>
      <c r="L63" s="870"/>
      <c r="N63" s="911" t="s">
        <v>127</v>
      </c>
      <c r="O63" s="24">
        <v>0</v>
      </c>
      <c r="P63" s="282"/>
      <c r="Q63" s="702"/>
      <c r="R63" s="702"/>
      <c r="S63" s="702"/>
      <c r="T63" s="702"/>
      <c r="U63" s="702"/>
      <c r="V63" s="702"/>
      <c r="W63" s="282"/>
      <c r="X63" s="280">
        <v>0</v>
      </c>
      <c r="Y63" s="29"/>
      <c r="Z63" s="911" t="s">
        <v>127</v>
      </c>
      <c r="AA63" s="154">
        <f t="shared" si="107"/>
        <v>0</v>
      </c>
      <c r="AB63" s="1120">
        <f ca="1">(C90+P90)*P107/1000000</f>
        <v>1.45543841833773</v>
      </c>
      <c r="AC63" s="898">
        <f t="shared" si="120"/>
        <v>0</v>
      </c>
      <c r="AD63" s="895">
        <f t="shared" si="121"/>
        <v>0</v>
      </c>
      <c r="AE63" s="972">
        <f aca="true" t="shared" si="131" ref="AE63">AE90*AE107/1000000</f>
        <v>0</v>
      </c>
      <c r="AF63" s="888">
        <f t="shared" si="109"/>
        <v>0</v>
      </c>
      <c r="AG63" s="888">
        <f t="shared" si="110"/>
        <v>0</v>
      </c>
      <c r="AH63" s="899">
        <f t="shared" si="123"/>
        <v>0</v>
      </c>
      <c r="AI63" s="1122">
        <f ca="1">(J90+W90)*W107/1000000</f>
        <v>3.146200858810672</v>
      </c>
      <c r="AJ63" s="773">
        <f t="shared" si="111"/>
        <v>0</v>
      </c>
      <c r="AK63" s="889">
        <f ca="1" t="shared" si="10"/>
        <v>4.601639277148402</v>
      </c>
      <c r="AL63" s="890"/>
      <c r="AM63" s="911" t="s">
        <v>127</v>
      </c>
      <c r="AN63" s="888">
        <f aca="true" t="shared" si="132" ref="AN63:AN64">AA63*AN$6</f>
        <v>0</v>
      </c>
      <c r="AO63" s="897">
        <f ca="1">AB63*AO$6</f>
        <v>4.551112270989531</v>
      </c>
      <c r="AP63" s="898"/>
      <c r="AQ63" s="895"/>
      <c r="AR63" s="972"/>
      <c r="AS63" s="888"/>
      <c r="AT63" s="888"/>
      <c r="AU63" s="899"/>
      <c r="AV63" s="895">
        <f ca="1" t="shared" si="128"/>
        <v>12.465779553586838</v>
      </c>
      <c r="AW63" s="888"/>
      <c r="AX63" s="889">
        <f aca="true" t="shared" si="133" ref="AX63:AX64">SUM(AN63:AW63)</f>
        <v>17.01689182457637</v>
      </c>
      <c r="AY63" s="241">
        <f ca="1" t="shared" si="97"/>
        <v>0.4040946075620119</v>
      </c>
      <c r="AZ63" s="917" t="s">
        <v>94</v>
      </c>
      <c r="BA63" s="241">
        <f ca="1" t="shared" si="98"/>
        <v>0.42107384796893366</v>
      </c>
      <c r="BB63" s="918" t="s">
        <v>94</v>
      </c>
    </row>
    <row r="64" spans="1:54" ht="13.5" thickBot="1">
      <c r="A64" s="864" t="s">
        <v>132</v>
      </c>
      <c r="B64" s="865"/>
      <c r="C64" s="878"/>
      <c r="D64" s="879"/>
      <c r="E64" s="880"/>
      <c r="F64" s="1069"/>
      <c r="G64" s="865"/>
      <c r="H64" s="865"/>
      <c r="I64" s="881"/>
      <c r="J64" s="880"/>
      <c r="K64" s="865"/>
      <c r="L64" s="870"/>
      <c r="N64" s="911" t="s">
        <v>132</v>
      </c>
      <c r="O64" s="24">
        <v>0</v>
      </c>
      <c r="P64" s="282"/>
      <c r="Q64" s="702"/>
      <c r="R64" s="702"/>
      <c r="S64" s="702"/>
      <c r="T64" s="702"/>
      <c r="U64" s="702"/>
      <c r="V64" s="702"/>
      <c r="W64" s="282"/>
      <c r="X64" s="280">
        <v>0</v>
      </c>
      <c r="Y64" s="29"/>
      <c r="Z64" s="911" t="s">
        <v>132</v>
      </c>
      <c r="AA64" s="154">
        <f t="shared" si="107"/>
        <v>0</v>
      </c>
      <c r="AB64" s="1124">
        <f ca="1">(C91+P91)*P108/1000000</f>
        <v>0.69319231494603</v>
      </c>
      <c r="AC64" s="1029">
        <f t="shared" si="120"/>
        <v>0</v>
      </c>
      <c r="AD64" s="1030">
        <f t="shared" si="121"/>
        <v>0</v>
      </c>
      <c r="AE64" s="1072">
        <f aca="true" t="shared" si="134" ref="AE64">AE91*AE108/1000000</f>
        <v>0</v>
      </c>
      <c r="AF64" s="888">
        <f t="shared" si="109"/>
        <v>0</v>
      </c>
      <c r="AG64" s="888">
        <f t="shared" si="110"/>
        <v>0</v>
      </c>
      <c r="AH64" s="1031">
        <f t="shared" si="123"/>
        <v>0</v>
      </c>
      <c r="AI64" s="1125">
        <f ca="1">(J91+W91)*W108/1000000</f>
        <v>1.3925936683805822</v>
      </c>
      <c r="AJ64" s="773">
        <f t="shared" si="111"/>
        <v>0</v>
      </c>
      <c r="AK64" s="889">
        <f ca="1" t="shared" si="10"/>
        <v>2.085785983326612</v>
      </c>
      <c r="AL64" s="890"/>
      <c r="AM64" s="911" t="s">
        <v>132</v>
      </c>
      <c r="AN64" s="888">
        <f t="shared" si="132"/>
        <v>0</v>
      </c>
      <c r="AO64" s="1028">
        <f ca="1">AB64*AO$6</f>
        <v>2.167591573066787</v>
      </c>
      <c r="AP64" s="1029"/>
      <c r="AQ64" s="1030"/>
      <c r="AR64" s="1072"/>
      <c r="AS64" s="888"/>
      <c r="AT64" s="888"/>
      <c r="AU64" s="1031"/>
      <c r="AV64" s="1030">
        <f ca="1" t="shared" si="128"/>
        <v>5.517691481501755</v>
      </c>
      <c r="AW64" s="888"/>
      <c r="AX64" s="889">
        <f ca="1" t="shared" si="133"/>
        <v>7.685283054568542</v>
      </c>
      <c r="AY64" s="241">
        <f ca="1" t="shared" si="97"/>
        <v>0.18249992254482508</v>
      </c>
      <c r="AZ64" s="917" t="s">
        <v>94</v>
      </c>
      <c r="BA64" s="241">
        <f ca="1" t="shared" si="98"/>
        <v>0.19057154034710727</v>
      </c>
      <c r="BB64" s="918" t="s">
        <v>94</v>
      </c>
    </row>
    <row r="65" spans="1:54" ht="12.75">
      <c r="A65" s="48" t="s">
        <v>40</v>
      </c>
      <c r="B65" s="49"/>
      <c r="C65" s="254"/>
      <c r="D65" s="254">
        <v>0</v>
      </c>
      <c r="E65" s="254">
        <v>1.1</v>
      </c>
      <c r="F65" s="254"/>
      <c r="G65" s="254"/>
      <c r="H65" s="254"/>
      <c r="I65" s="254"/>
      <c r="J65" s="254">
        <v>0.12</v>
      </c>
      <c r="K65" s="254"/>
      <c r="L65" s="55">
        <v>1.25</v>
      </c>
      <c r="N65" s="3" t="s">
        <v>40</v>
      </c>
      <c r="O65" s="206">
        <v>0</v>
      </c>
      <c r="P65" s="24">
        <v>0</v>
      </c>
      <c r="Q65" s="24">
        <v>0</v>
      </c>
      <c r="R65" s="24">
        <v>0</v>
      </c>
      <c r="S65" s="280">
        <v>0</v>
      </c>
      <c r="T65" s="280">
        <v>0</v>
      </c>
      <c r="U65" s="280">
        <v>0</v>
      </c>
      <c r="V65" s="24">
        <v>0</v>
      </c>
      <c r="W65" s="24">
        <v>0</v>
      </c>
      <c r="X65" s="280">
        <v>0</v>
      </c>
      <c r="Y65" s="29"/>
      <c r="Z65" s="3" t="s">
        <v>40</v>
      </c>
      <c r="AA65" s="207">
        <f t="shared" si="107"/>
        <v>0</v>
      </c>
      <c r="AB65" s="154">
        <f t="shared" si="119"/>
        <v>0</v>
      </c>
      <c r="AC65" s="154">
        <f t="shared" si="120"/>
        <v>0</v>
      </c>
      <c r="AD65" s="154">
        <f t="shared" si="121"/>
        <v>1.1</v>
      </c>
      <c r="AE65" s="154">
        <f aca="true" t="shared" si="135" ref="AE65:AE67">F65+S65</f>
        <v>0</v>
      </c>
      <c r="AF65" s="154">
        <f t="shared" si="109"/>
        <v>0</v>
      </c>
      <c r="AG65" s="154">
        <f t="shared" si="110"/>
        <v>0</v>
      </c>
      <c r="AH65" s="154">
        <f t="shared" si="123"/>
        <v>0</v>
      </c>
      <c r="AI65" s="154">
        <f t="shared" si="124"/>
        <v>0.12</v>
      </c>
      <c r="AJ65" s="154">
        <f t="shared" si="111"/>
        <v>0</v>
      </c>
      <c r="AK65" s="157">
        <f t="shared" si="10"/>
        <v>1.2200000000000002</v>
      </c>
      <c r="AM65" s="148" t="s">
        <v>40</v>
      </c>
      <c r="AN65" s="1013" t="s">
        <v>122</v>
      </c>
      <c r="AO65" s="154"/>
      <c r="AP65" s="154">
        <f aca="true" t="shared" si="136" ref="AP65:AU66">AC65*AP$6</f>
        <v>0</v>
      </c>
      <c r="AQ65" s="154">
        <f t="shared" si="136"/>
        <v>2.501576</v>
      </c>
      <c r="AR65" s="154">
        <f t="shared" si="136"/>
        <v>0</v>
      </c>
      <c r="AS65" s="154">
        <f t="shared" si="136"/>
        <v>0</v>
      </c>
      <c r="AT65" s="154">
        <f t="shared" si="136"/>
        <v>0</v>
      </c>
      <c r="AU65" s="154">
        <f t="shared" si="136"/>
        <v>0</v>
      </c>
      <c r="AV65" s="154">
        <f t="shared" si="128"/>
        <v>0.47546028164136306</v>
      </c>
      <c r="AW65" s="154">
        <f aca="true" t="shared" si="137" ref="AW65:AW67">-AW$35*AJ65/AJ$35</f>
        <v>0</v>
      </c>
      <c r="AX65" s="157">
        <f>SUM(AN65:AW65)</f>
        <v>2.977036281641363</v>
      </c>
      <c r="AY65" s="94">
        <f ca="1" t="shared" si="97"/>
        <v>0.07069471442430623</v>
      </c>
      <c r="AZ65" s="4" t="s">
        <v>94</v>
      </c>
      <c r="BA65" s="242">
        <f ca="1" t="shared" si="98"/>
        <v>0.07979636758333322</v>
      </c>
      <c r="BB65" t="s">
        <v>94</v>
      </c>
    </row>
    <row r="66" spans="1:54" ht="12.75">
      <c r="A66" s="112" t="s">
        <v>99</v>
      </c>
      <c r="B66" s="49"/>
      <c r="C66" s="254"/>
      <c r="D66" s="254">
        <v>7.52</v>
      </c>
      <c r="E66" s="254"/>
      <c r="F66" s="254"/>
      <c r="G66" s="254"/>
      <c r="H66" s="254"/>
      <c r="I66" s="254"/>
      <c r="J66" s="254"/>
      <c r="K66" s="254"/>
      <c r="L66" s="56">
        <v>7.52</v>
      </c>
      <c r="N66" s="3" t="s">
        <v>41</v>
      </c>
      <c r="O66" s="206">
        <v>0</v>
      </c>
      <c r="P66" s="24">
        <v>0</v>
      </c>
      <c r="Q66" s="24">
        <v>0</v>
      </c>
      <c r="R66" s="24">
        <v>0</v>
      </c>
      <c r="S66" s="280">
        <v>0</v>
      </c>
      <c r="T66" s="280">
        <v>0</v>
      </c>
      <c r="U66" s="280">
        <v>0</v>
      </c>
      <c r="V66" s="24">
        <v>0</v>
      </c>
      <c r="W66" s="24">
        <v>0</v>
      </c>
      <c r="X66" s="280">
        <v>0</v>
      </c>
      <c r="Y66" s="29"/>
      <c r="Z66" s="3" t="s">
        <v>41</v>
      </c>
      <c r="AA66" s="207">
        <f t="shared" si="107"/>
        <v>0</v>
      </c>
      <c r="AB66" s="154">
        <f t="shared" si="119"/>
        <v>0</v>
      </c>
      <c r="AC66" s="154">
        <f t="shared" si="120"/>
        <v>7.52</v>
      </c>
      <c r="AD66" s="154">
        <f t="shared" si="121"/>
        <v>0</v>
      </c>
      <c r="AE66" s="154">
        <f t="shared" si="135"/>
        <v>0</v>
      </c>
      <c r="AF66" s="154">
        <f t="shared" si="109"/>
        <v>0</v>
      </c>
      <c r="AG66" s="154">
        <f t="shared" si="110"/>
        <v>0</v>
      </c>
      <c r="AH66" s="154">
        <f t="shared" si="123"/>
        <v>0</v>
      </c>
      <c r="AI66" s="154">
        <f t="shared" si="124"/>
        <v>0</v>
      </c>
      <c r="AJ66" s="154">
        <f t="shared" si="111"/>
        <v>0</v>
      </c>
      <c r="AK66" s="157">
        <f t="shared" si="10"/>
        <v>7.52</v>
      </c>
      <c r="AM66" s="148" t="s">
        <v>41</v>
      </c>
      <c r="AN66" s="1013" t="s">
        <v>122</v>
      </c>
      <c r="AO66" s="154"/>
      <c r="AP66" s="154">
        <f t="shared" si="136"/>
        <v>23.514814399999995</v>
      </c>
      <c r="AQ66" s="154">
        <f t="shared" si="136"/>
        <v>0</v>
      </c>
      <c r="AR66" s="154">
        <f t="shared" si="136"/>
        <v>0</v>
      </c>
      <c r="AS66" s="154">
        <f t="shared" si="136"/>
        <v>0</v>
      </c>
      <c r="AT66" s="154">
        <f t="shared" si="136"/>
        <v>0</v>
      </c>
      <c r="AU66" s="154">
        <f t="shared" si="136"/>
        <v>0</v>
      </c>
      <c r="AV66" s="154">
        <f t="shared" si="128"/>
        <v>0</v>
      </c>
      <c r="AW66" s="154">
        <f t="shared" si="137"/>
        <v>0</v>
      </c>
      <c r="AX66" s="157">
        <f>SUM(AN66:AW66)</f>
        <v>23.514814399999995</v>
      </c>
      <c r="AY66" s="94">
        <f ca="1" t="shared" si="97"/>
        <v>0.5583986661499565</v>
      </c>
      <c r="AZ66" s="4" t="s">
        <v>94</v>
      </c>
      <c r="BA66" s="242">
        <f ca="1" t="shared" si="98"/>
        <v>0.6437921570425469</v>
      </c>
      <c r="BB66" t="s">
        <v>94</v>
      </c>
    </row>
    <row r="67" spans="1:54" ht="13.5" thickBot="1">
      <c r="A67" s="57" t="s">
        <v>35</v>
      </c>
      <c r="B67" s="58"/>
      <c r="C67" s="255"/>
      <c r="D67" s="255">
        <v>0.15</v>
      </c>
      <c r="E67" s="255">
        <v>0.17</v>
      </c>
      <c r="F67" s="255"/>
      <c r="G67" s="255"/>
      <c r="H67" s="255"/>
      <c r="I67" s="255"/>
      <c r="J67" s="255">
        <v>1.58</v>
      </c>
      <c r="K67" s="237"/>
      <c r="L67" s="67">
        <v>1.87</v>
      </c>
      <c r="N67" s="6" t="s">
        <v>35</v>
      </c>
      <c r="O67" s="206">
        <v>0</v>
      </c>
      <c r="P67" s="24">
        <v>0</v>
      </c>
      <c r="Q67" s="24">
        <v>0</v>
      </c>
      <c r="R67" s="24">
        <v>0</v>
      </c>
      <c r="S67" s="280">
        <v>0</v>
      </c>
      <c r="T67" s="280">
        <v>0</v>
      </c>
      <c r="U67" s="280">
        <v>0</v>
      </c>
      <c r="V67" s="24">
        <v>0</v>
      </c>
      <c r="W67" s="24">
        <v>0</v>
      </c>
      <c r="X67" s="280">
        <v>0</v>
      </c>
      <c r="Y67" s="34"/>
      <c r="Z67" s="6" t="s">
        <v>35</v>
      </c>
      <c r="AA67" s="208">
        <f t="shared" si="107"/>
        <v>0</v>
      </c>
      <c r="AB67" s="161">
        <f t="shared" si="119"/>
        <v>0</v>
      </c>
      <c r="AC67" s="161">
        <f t="shared" si="120"/>
        <v>0.15</v>
      </c>
      <c r="AD67" s="161">
        <f t="shared" si="121"/>
        <v>0.17</v>
      </c>
      <c r="AE67" s="161">
        <f t="shared" si="135"/>
        <v>0</v>
      </c>
      <c r="AF67" s="161">
        <f t="shared" si="109"/>
        <v>0</v>
      </c>
      <c r="AG67" s="161">
        <f t="shared" si="110"/>
        <v>0</v>
      </c>
      <c r="AH67" s="161">
        <f t="shared" si="123"/>
        <v>0</v>
      </c>
      <c r="AI67" s="161">
        <f t="shared" si="124"/>
        <v>1.58</v>
      </c>
      <c r="AJ67" s="161">
        <f t="shared" si="111"/>
        <v>0</v>
      </c>
      <c r="AK67" s="162">
        <f t="shared" si="10"/>
        <v>1.9000000000000001</v>
      </c>
      <c r="AM67" s="150" t="s">
        <v>35</v>
      </c>
      <c r="AN67" s="1032" t="s">
        <v>122</v>
      </c>
      <c r="AO67" s="161"/>
      <c r="AP67" s="161">
        <f aca="true" t="shared" si="138" ref="AP67:AU67">AC67*AP$6</f>
        <v>0.4690454999999999</v>
      </c>
      <c r="AQ67" s="161">
        <f t="shared" si="138"/>
        <v>0.3866072</v>
      </c>
      <c r="AR67" s="161">
        <f t="shared" si="138"/>
        <v>0</v>
      </c>
      <c r="AS67" s="161">
        <f t="shared" si="138"/>
        <v>0</v>
      </c>
      <c r="AT67" s="161">
        <f t="shared" si="138"/>
        <v>0</v>
      </c>
      <c r="AU67" s="161">
        <f t="shared" si="138"/>
        <v>0</v>
      </c>
      <c r="AV67" s="161">
        <f t="shared" si="128"/>
        <v>6.26022704161128</v>
      </c>
      <c r="AW67" s="161">
        <f t="shared" si="137"/>
        <v>0</v>
      </c>
      <c r="AX67" s="162">
        <f>SUM(AN67:AW67)</f>
        <v>7.1158797416112805</v>
      </c>
      <c r="AY67" s="829">
        <f ca="1" t="shared" si="97"/>
        <v>0.16897848686397615</v>
      </c>
      <c r="AZ67" s="144" t="s">
        <v>94</v>
      </c>
      <c r="BA67" s="245">
        <f ca="1" t="shared" si="98"/>
        <v>0.17231275260554146</v>
      </c>
      <c r="BB67" s="134" t="s">
        <v>94</v>
      </c>
    </row>
    <row r="68" spans="1:54" ht="16.5" customHeight="1">
      <c r="A68" s="55" t="s">
        <v>42</v>
      </c>
      <c r="B68" s="56">
        <v>19.08</v>
      </c>
      <c r="C68" s="215"/>
      <c r="D68" s="215">
        <v>87.77</v>
      </c>
      <c r="E68" s="215">
        <v>174.07</v>
      </c>
      <c r="F68" s="215"/>
      <c r="G68" s="215"/>
      <c r="H68" s="56">
        <v>4.25</v>
      </c>
      <c r="I68" s="56">
        <v>37.15</v>
      </c>
      <c r="J68" s="56">
        <v>154.86</v>
      </c>
      <c r="K68" s="89">
        <v>31.49</v>
      </c>
      <c r="L68" s="55">
        <v>508.67</v>
      </c>
      <c r="N68" s="5" t="s">
        <v>42</v>
      </c>
      <c r="O68" s="11"/>
      <c r="P68" s="11"/>
      <c r="Q68" s="273"/>
      <c r="R68" s="273"/>
      <c r="S68" s="273"/>
      <c r="T68" s="273"/>
      <c r="U68" s="273"/>
      <c r="V68" s="273"/>
      <c r="W68" s="273"/>
      <c r="X68" s="11"/>
      <c r="Y68" s="33"/>
      <c r="Z68" s="5" t="s">
        <v>42</v>
      </c>
      <c r="AA68" s="160">
        <f aca="true" t="shared" si="139" ref="AA68:AK68">SUM(AA69:AA75)</f>
        <v>19.080000000000002</v>
      </c>
      <c r="AB68" s="160">
        <f t="shared" si="139"/>
        <v>0</v>
      </c>
      <c r="AC68" s="160">
        <f t="shared" si="139"/>
        <v>87.77</v>
      </c>
      <c r="AD68" s="160">
        <f t="shared" si="139"/>
        <v>174.06</v>
      </c>
      <c r="AE68" s="160">
        <f t="shared" si="139"/>
        <v>0</v>
      </c>
      <c r="AF68" s="160">
        <f t="shared" si="139"/>
        <v>0</v>
      </c>
      <c r="AG68" s="160">
        <f t="shared" si="139"/>
        <v>4.239999999999999</v>
      </c>
      <c r="AH68" s="160">
        <f t="shared" si="139"/>
        <v>37.15</v>
      </c>
      <c r="AI68" s="160">
        <f t="shared" si="139"/>
        <v>154.87</v>
      </c>
      <c r="AJ68" s="160">
        <f t="shared" si="139"/>
        <v>31.489999999999995</v>
      </c>
      <c r="AK68" s="157">
        <f t="shared" si="139"/>
        <v>508.65999999999997</v>
      </c>
      <c r="AM68" s="80" t="s">
        <v>42</v>
      </c>
      <c r="AN68" s="160">
        <f aca="true" t="shared" si="140" ref="AN68:AW68">SUM(AN69:AN75)</f>
        <v>73.60968599999998</v>
      </c>
      <c r="AO68" s="160">
        <f t="shared" si="140"/>
        <v>0</v>
      </c>
      <c r="AP68" s="160">
        <f t="shared" si="140"/>
        <v>274.45415689999993</v>
      </c>
      <c r="AQ68" s="160">
        <f t="shared" si="140"/>
        <v>395.84028959999995</v>
      </c>
      <c r="AR68" s="160">
        <f t="shared" si="140"/>
        <v>0</v>
      </c>
      <c r="AS68" s="160">
        <f t="shared" si="140"/>
        <v>0</v>
      </c>
      <c r="AT68" s="160">
        <f t="shared" si="140"/>
        <v>0</v>
      </c>
      <c r="AU68" s="160">
        <f t="shared" si="140"/>
        <v>178.02205699999996</v>
      </c>
      <c r="AV68" s="160">
        <f t="shared" si="140"/>
        <v>613.6211151483158</v>
      </c>
      <c r="AW68" s="160">
        <f t="shared" si="140"/>
        <v>155.76895132759225</v>
      </c>
      <c r="AX68" s="157">
        <f>SUM(AX69:AX75)</f>
        <v>1691.3162559759082</v>
      </c>
      <c r="AY68" s="243">
        <f ca="1">100*AX68/AX$20</f>
        <v>40.16313823742898</v>
      </c>
      <c r="AZ68" s="4" t="s">
        <v>94</v>
      </c>
      <c r="BA68" s="243">
        <f ca="1">SUM(BA69:BA75)</f>
        <v>38.260735316615985</v>
      </c>
      <c r="BB68" t="s">
        <v>94</v>
      </c>
    </row>
    <row r="69" spans="1:54" ht="12.75">
      <c r="A69" s="212" t="s">
        <v>43</v>
      </c>
      <c r="B69" s="49">
        <v>15.23</v>
      </c>
      <c r="C69" s="254"/>
      <c r="D69" s="254">
        <v>46.94</v>
      </c>
      <c r="E69" s="254">
        <v>118.48</v>
      </c>
      <c r="F69" s="254"/>
      <c r="G69" s="254"/>
      <c r="H69" s="49">
        <v>3.51</v>
      </c>
      <c r="I69" s="49">
        <v>33.47</v>
      </c>
      <c r="J69" s="49">
        <v>77.71</v>
      </c>
      <c r="K69" s="88">
        <v>17.99</v>
      </c>
      <c r="L69" s="55">
        <v>313.34</v>
      </c>
      <c r="N69" s="3" t="s">
        <v>43</v>
      </c>
      <c r="O69" s="220">
        <v>0</v>
      </c>
      <c r="P69" s="24">
        <v>0</v>
      </c>
      <c r="Q69" s="24">
        <v>0</v>
      </c>
      <c r="R69" s="24">
        <v>0</v>
      </c>
      <c r="S69" s="280">
        <v>0</v>
      </c>
      <c r="T69" s="280">
        <v>0</v>
      </c>
      <c r="U69" s="24">
        <v>0</v>
      </c>
      <c r="V69" s="24">
        <v>0</v>
      </c>
      <c r="W69" s="220">
        <v>0</v>
      </c>
      <c r="X69" s="24">
        <v>0</v>
      </c>
      <c r="Y69" s="29"/>
      <c r="Z69" s="3" t="s">
        <v>43</v>
      </c>
      <c r="AA69" s="154">
        <f aca="true" t="shared" si="141" ref="AA69:AA75">B69+O69</f>
        <v>15.23</v>
      </c>
      <c r="AB69" s="154">
        <f aca="true" t="shared" si="142" ref="AB69:AB75">C69+P69</f>
        <v>0</v>
      </c>
      <c r="AC69" s="154">
        <f aca="true" t="shared" si="143" ref="AC69:AC75">D69+Q69</f>
        <v>46.94</v>
      </c>
      <c r="AD69" s="154">
        <f aca="true" t="shared" si="144" ref="AD69:AD75">E69+R69</f>
        <v>118.48</v>
      </c>
      <c r="AE69" s="154">
        <f aca="true" t="shared" si="145" ref="AE69:AE75">F69+S69</f>
        <v>0</v>
      </c>
      <c r="AF69" s="154">
        <f aca="true" t="shared" si="146" ref="AF69:AF75">G69+T69</f>
        <v>0</v>
      </c>
      <c r="AG69" s="154">
        <f aca="true" t="shared" si="147" ref="AG69:AG75">H69+U69</f>
        <v>3.51</v>
      </c>
      <c r="AH69" s="154">
        <f aca="true" t="shared" si="148" ref="AH69:AH75">I69+V69</f>
        <v>33.47</v>
      </c>
      <c r="AI69" s="154">
        <f aca="true" t="shared" si="149" ref="AI69:AI75">J69+W69</f>
        <v>77.71</v>
      </c>
      <c r="AJ69" s="154">
        <f aca="true" t="shared" si="150" ref="AJ69:AJ75">K69+X69</f>
        <v>17.99</v>
      </c>
      <c r="AK69" s="157">
        <f t="shared" si="10"/>
        <v>313.33</v>
      </c>
      <c r="AM69" s="78" t="s">
        <v>43</v>
      </c>
      <c r="AN69" s="154">
        <f aca="true" t="shared" si="151" ref="AN69:AU69">AA69*AN$6</f>
        <v>58.756578499999996</v>
      </c>
      <c r="AO69" s="154">
        <f t="shared" si="151"/>
        <v>0</v>
      </c>
      <c r="AP69" s="154">
        <f t="shared" si="151"/>
        <v>146.77997179999997</v>
      </c>
      <c r="AQ69" s="154">
        <f t="shared" si="151"/>
        <v>269.44247679999995</v>
      </c>
      <c r="AR69" s="154">
        <f t="shared" si="151"/>
        <v>0</v>
      </c>
      <c r="AS69" s="154">
        <f t="shared" si="151"/>
        <v>0</v>
      </c>
      <c r="AT69" s="154">
        <f t="shared" si="151"/>
        <v>0</v>
      </c>
      <c r="AU69" s="154">
        <f t="shared" si="151"/>
        <v>160.38757059999998</v>
      </c>
      <c r="AV69" s="154">
        <f aca="true" t="shared" si="152" ref="AV69:AV75">AV$35*AI69/AI$35</f>
        <v>307.90015405291933</v>
      </c>
      <c r="AW69" s="154">
        <f aca="true" t="shared" si="153" ref="AW69:AW75">AW$35*AJ69/AJ$35</f>
        <v>88.98962954535995</v>
      </c>
      <c r="AX69" s="157">
        <f>SUM(AN69:AW69)</f>
        <v>1032.2563812982792</v>
      </c>
      <c r="AY69" s="94">
        <f aca="true" t="shared" si="154" ref="AY69:AY75">100*AX69/AX$20</f>
        <v>24.512657282199942</v>
      </c>
      <c r="AZ69" s="4" t="s">
        <v>94</v>
      </c>
      <c r="BA69" s="242">
        <f aca="true" t="shared" si="155" ref="BA69:BA75">100*((SUM(AN69:AQ69)-(BI$26/AV$35)*AV69-(BJ$26/AW$35)*AW69)/AX$19)</f>
        <v>22.212256131011102</v>
      </c>
      <c r="BB69" t="s">
        <v>94</v>
      </c>
    </row>
    <row r="70" spans="1:54" ht="12.75">
      <c r="A70" s="261" t="s">
        <v>138</v>
      </c>
      <c r="B70" s="49">
        <v>2.48</v>
      </c>
      <c r="C70" s="254"/>
      <c r="D70" s="254">
        <v>20.8</v>
      </c>
      <c r="E70" s="254">
        <v>43.49</v>
      </c>
      <c r="F70" s="254"/>
      <c r="G70" s="254"/>
      <c r="H70" s="49">
        <v>0.36</v>
      </c>
      <c r="I70" s="49">
        <v>1.89</v>
      </c>
      <c r="J70" s="49">
        <v>71.61</v>
      </c>
      <c r="K70" s="88">
        <v>8.35</v>
      </c>
      <c r="L70" s="55">
        <v>148.98</v>
      </c>
      <c r="N70" s="217" t="s">
        <v>133</v>
      </c>
      <c r="O70" s="220">
        <v>0</v>
      </c>
      <c r="P70" s="24">
        <v>0</v>
      </c>
      <c r="Q70" s="220">
        <v>0</v>
      </c>
      <c r="R70" s="220">
        <v>0</v>
      </c>
      <c r="S70" s="280">
        <v>0</v>
      </c>
      <c r="T70" s="280">
        <v>0</v>
      </c>
      <c r="U70" s="220">
        <v>0</v>
      </c>
      <c r="V70" s="220">
        <v>0</v>
      </c>
      <c r="W70" s="220">
        <v>0</v>
      </c>
      <c r="X70" s="24">
        <v>0</v>
      </c>
      <c r="Y70" s="29"/>
      <c r="Z70" s="218" t="s">
        <v>133</v>
      </c>
      <c r="AA70" s="154">
        <f t="shared" si="141"/>
        <v>2.48</v>
      </c>
      <c r="AB70" s="154">
        <f t="shared" si="142"/>
        <v>0</v>
      </c>
      <c r="AC70" s="154">
        <f t="shared" si="143"/>
        <v>20.8</v>
      </c>
      <c r="AD70" s="154">
        <f t="shared" si="144"/>
        <v>43.49</v>
      </c>
      <c r="AE70" s="154">
        <f t="shared" si="145"/>
        <v>0</v>
      </c>
      <c r="AF70" s="154">
        <f t="shared" si="146"/>
        <v>0</v>
      </c>
      <c r="AG70" s="154">
        <f t="shared" si="147"/>
        <v>0.36</v>
      </c>
      <c r="AH70" s="154">
        <f t="shared" si="148"/>
        <v>1.89</v>
      </c>
      <c r="AI70" s="154">
        <f t="shared" si="149"/>
        <v>71.61</v>
      </c>
      <c r="AJ70" s="156">
        <f t="shared" si="150"/>
        <v>8.35</v>
      </c>
      <c r="AK70" s="157">
        <f t="shared" si="10"/>
        <v>148.98</v>
      </c>
      <c r="AM70" s="219" t="s">
        <v>133</v>
      </c>
      <c r="AN70" s="154">
        <f aca="true" t="shared" si="156" ref="AN70:AU72">AA70*AN$6</f>
        <v>9.567715999999999</v>
      </c>
      <c r="AO70" s="154">
        <f t="shared" si="156"/>
        <v>0</v>
      </c>
      <c r="AP70" s="154">
        <f t="shared" si="156"/>
        <v>65.040976</v>
      </c>
      <c r="AQ70" s="154">
        <f t="shared" si="156"/>
        <v>98.9032184</v>
      </c>
      <c r="AR70" s="154">
        <f t="shared" si="156"/>
        <v>0</v>
      </c>
      <c r="AS70" s="154">
        <f t="shared" si="156"/>
        <v>0</v>
      </c>
      <c r="AT70" s="154">
        <f t="shared" si="156"/>
        <v>0</v>
      </c>
      <c r="AU70" s="154">
        <f t="shared" si="156"/>
        <v>9.056842199999998</v>
      </c>
      <c r="AV70" s="154">
        <f t="shared" si="152"/>
        <v>283.7309230694834</v>
      </c>
      <c r="AW70" s="154">
        <f t="shared" si="153"/>
        <v>41.30424717641776</v>
      </c>
      <c r="AX70" s="157">
        <f>SUM(AN70:AW70)</f>
        <v>507.60392284590125</v>
      </c>
      <c r="AY70" s="94">
        <f ca="1" t="shared" si="154"/>
        <v>12.053905620009349</v>
      </c>
      <c r="AZ70" s="4" t="s">
        <v>94</v>
      </c>
      <c r="BA70" s="242">
        <f ca="1" t="shared" si="155"/>
        <v>12.373509630214794</v>
      </c>
      <c r="BB70" t="s">
        <v>94</v>
      </c>
    </row>
    <row r="71" spans="1:53" ht="12.75">
      <c r="A71" s="224" t="s">
        <v>135</v>
      </c>
      <c r="B71" s="724"/>
      <c r="C71" s="724"/>
      <c r="D71" s="724"/>
      <c r="E71" s="724"/>
      <c r="F71" s="724"/>
      <c r="G71" s="724"/>
      <c r="H71" s="724"/>
      <c r="I71" s="724"/>
      <c r="J71" s="724"/>
      <c r="K71" s="900"/>
      <c r="L71" s="234">
        <f aca="true" t="shared" si="157" ref="L71:L72">SUM(B71:K71)</f>
        <v>0</v>
      </c>
      <c r="N71" s="217"/>
      <c r="O71" s="220">
        <v>0</v>
      </c>
      <c r="P71" s="24">
        <v>0</v>
      </c>
      <c r="Q71" s="24">
        <v>0</v>
      </c>
      <c r="R71" s="24">
        <v>0</v>
      </c>
      <c r="S71" s="280">
        <v>0</v>
      </c>
      <c r="T71" s="280">
        <v>0</v>
      </c>
      <c r="U71" s="24">
        <v>0</v>
      </c>
      <c r="V71" s="24">
        <v>0</v>
      </c>
      <c r="W71" s="220">
        <v>0</v>
      </c>
      <c r="X71" s="24">
        <v>0</v>
      </c>
      <c r="Y71" s="29"/>
      <c r="Z71" s="218"/>
      <c r="AA71" s="154">
        <f t="shared" si="141"/>
        <v>0</v>
      </c>
      <c r="AB71" s="154">
        <f t="shared" si="142"/>
        <v>0</v>
      </c>
      <c r="AC71" s="154">
        <f t="shared" si="143"/>
        <v>0</v>
      </c>
      <c r="AD71" s="154">
        <f t="shared" si="144"/>
        <v>0</v>
      </c>
      <c r="AE71" s="154">
        <f t="shared" si="145"/>
        <v>0</v>
      </c>
      <c r="AF71" s="154">
        <f t="shared" si="146"/>
        <v>0</v>
      </c>
      <c r="AG71" s="154">
        <f t="shared" si="147"/>
        <v>0</v>
      </c>
      <c r="AH71" s="154">
        <f t="shared" si="148"/>
        <v>0</v>
      </c>
      <c r="AI71" s="154">
        <f t="shared" si="149"/>
        <v>0</v>
      </c>
      <c r="AJ71" s="156">
        <f t="shared" si="150"/>
        <v>0</v>
      </c>
      <c r="AK71" s="157"/>
      <c r="AM71" s="219"/>
      <c r="AN71" s="154">
        <f t="shared" si="156"/>
        <v>0</v>
      </c>
      <c r="AO71" s="154">
        <f t="shared" si="156"/>
        <v>0</v>
      </c>
      <c r="AP71" s="154">
        <f t="shared" si="156"/>
        <v>0</v>
      </c>
      <c r="AQ71" s="154">
        <f t="shared" si="156"/>
        <v>0</v>
      </c>
      <c r="AR71" s="154">
        <f t="shared" si="156"/>
        <v>0</v>
      </c>
      <c r="AS71" s="154">
        <f t="shared" si="156"/>
        <v>0</v>
      </c>
      <c r="AT71" s="154">
        <f t="shared" si="156"/>
        <v>0</v>
      </c>
      <c r="AU71" s="154">
        <f t="shared" si="156"/>
        <v>0</v>
      </c>
      <c r="AV71" s="154">
        <f t="shared" si="152"/>
        <v>0</v>
      </c>
      <c r="AW71" s="154">
        <f t="shared" si="153"/>
        <v>0</v>
      </c>
      <c r="AX71" s="157"/>
      <c r="AY71" s="94">
        <f ca="1" t="shared" si="154"/>
        <v>0</v>
      </c>
      <c r="AZ71" s="4"/>
      <c r="BA71" s="242">
        <f ca="1" t="shared" si="155"/>
        <v>0</v>
      </c>
    </row>
    <row r="72" spans="1:53" ht="12.75">
      <c r="A72" s="225" t="s">
        <v>136</v>
      </c>
      <c r="B72" s="724"/>
      <c r="C72" s="724"/>
      <c r="D72" s="724"/>
      <c r="E72" s="724"/>
      <c r="F72" s="724"/>
      <c r="G72" s="724"/>
      <c r="H72" s="724"/>
      <c r="I72" s="724"/>
      <c r="J72" s="724"/>
      <c r="K72" s="900"/>
      <c r="L72" s="234">
        <f t="shared" si="157"/>
        <v>0</v>
      </c>
      <c r="N72" s="217"/>
      <c r="O72" s="220">
        <v>0</v>
      </c>
      <c r="P72" s="24">
        <v>0</v>
      </c>
      <c r="Q72" s="24">
        <v>0</v>
      </c>
      <c r="R72" s="24">
        <v>0</v>
      </c>
      <c r="S72" s="280">
        <v>0</v>
      </c>
      <c r="T72" s="280">
        <v>0</v>
      </c>
      <c r="U72" s="24">
        <v>0</v>
      </c>
      <c r="V72" s="24">
        <v>0</v>
      </c>
      <c r="W72" s="220">
        <v>0</v>
      </c>
      <c r="X72" s="24">
        <v>0</v>
      </c>
      <c r="Y72" s="29"/>
      <c r="Z72" s="218"/>
      <c r="AA72" s="154">
        <f t="shared" si="141"/>
        <v>0</v>
      </c>
      <c r="AB72" s="154">
        <f t="shared" si="142"/>
        <v>0</v>
      </c>
      <c r="AC72" s="154">
        <f t="shared" si="143"/>
        <v>0</v>
      </c>
      <c r="AD72" s="154">
        <f t="shared" si="144"/>
        <v>0</v>
      </c>
      <c r="AE72" s="154">
        <f t="shared" si="145"/>
        <v>0</v>
      </c>
      <c r="AF72" s="154">
        <f t="shared" si="146"/>
        <v>0</v>
      </c>
      <c r="AG72" s="154">
        <f t="shared" si="147"/>
        <v>0</v>
      </c>
      <c r="AH72" s="154">
        <f t="shared" si="148"/>
        <v>0</v>
      </c>
      <c r="AI72" s="154">
        <f t="shared" si="149"/>
        <v>0</v>
      </c>
      <c r="AJ72" s="156">
        <f t="shared" si="150"/>
        <v>0</v>
      </c>
      <c r="AK72" s="157"/>
      <c r="AM72" s="219"/>
      <c r="AN72" s="154">
        <f t="shared" si="156"/>
        <v>0</v>
      </c>
      <c r="AO72" s="154">
        <f t="shared" si="156"/>
        <v>0</v>
      </c>
      <c r="AP72" s="154">
        <f t="shared" si="156"/>
        <v>0</v>
      </c>
      <c r="AQ72" s="154">
        <f t="shared" si="156"/>
        <v>0</v>
      </c>
      <c r="AR72" s="154">
        <f t="shared" si="156"/>
        <v>0</v>
      </c>
      <c r="AS72" s="154">
        <f t="shared" si="156"/>
        <v>0</v>
      </c>
      <c r="AT72" s="154">
        <f t="shared" si="156"/>
        <v>0</v>
      </c>
      <c r="AU72" s="154">
        <f t="shared" si="156"/>
        <v>0</v>
      </c>
      <c r="AV72" s="154">
        <f t="shared" si="152"/>
        <v>0</v>
      </c>
      <c r="AW72" s="154">
        <f t="shared" si="153"/>
        <v>0</v>
      </c>
      <c r="AX72" s="157"/>
      <c r="AY72" s="94">
        <f ca="1" t="shared" si="154"/>
        <v>0</v>
      </c>
      <c r="AZ72" s="4"/>
      <c r="BA72" s="242">
        <f ca="1" t="shared" si="155"/>
        <v>0</v>
      </c>
    </row>
    <row r="73" spans="1:54" ht="12.75">
      <c r="A73" s="48" t="s">
        <v>44</v>
      </c>
      <c r="B73" s="254">
        <v>1.14</v>
      </c>
      <c r="C73" s="254"/>
      <c r="D73" s="254">
        <v>17.61</v>
      </c>
      <c r="E73" s="254">
        <v>3.66</v>
      </c>
      <c r="F73" s="254"/>
      <c r="G73" s="254"/>
      <c r="H73" s="254">
        <v>0.06</v>
      </c>
      <c r="I73" s="254">
        <v>1.78</v>
      </c>
      <c r="J73" s="254">
        <v>4.93</v>
      </c>
      <c r="K73" s="256">
        <v>0.29</v>
      </c>
      <c r="L73" s="234">
        <v>29.46</v>
      </c>
      <c r="N73" s="3" t="s">
        <v>44</v>
      </c>
      <c r="O73" s="24">
        <v>0</v>
      </c>
      <c r="P73" s="24">
        <v>0</v>
      </c>
      <c r="Q73" s="24">
        <v>0</v>
      </c>
      <c r="R73" s="24">
        <v>0</v>
      </c>
      <c r="S73" s="280">
        <v>0</v>
      </c>
      <c r="T73" s="280">
        <v>0</v>
      </c>
      <c r="U73" s="24">
        <v>0</v>
      </c>
      <c r="V73" s="24">
        <v>0</v>
      </c>
      <c r="W73" s="24">
        <v>0</v>
      </c>
      <c r="X73" s="24">
        <v>0</v>
      </c>
      <c r="Y73" s="29"/>
      <c r="Z73" s="3" t="s">
        <v>44</v>
      </c>
      <c r="AA73" s="154">
        <f t="shared" si="141"/>
        <v>1.14</v>
      </c>
      <c r="AB73" s="154">
        <f t="shared" si="142"/>
        <v>0</v>
      </c>
      <c r="AC73" s="154">
        <f t="shared" si="143"/>
        <v>17.61</v>
      </c>
      <c r="AD73" s="154">
        <f t="shared" si="144"/>
        <v>3.66</v>
      </c>
      <c r="AE73" s="154">
        <f t="shared" si="145"/>
        <v>0</v>
      </c>
      <c r="AF73" s="154">
        <f t="shared" si="146"/>
        <v>0</v>
      </c>
      <c r="AG73" s="154">
        <f t="shared" si="147"/>
        <v>0.06</v>
      </c>
      <c r="AH73" s="154">
        <f t="shared" si="148"/>
        <v>1.78</v>
      </c>
      <c r="AI73" s="154">
        <f t="shared" si="149"/>
        <v>4.93</v>
      </c>
      <c r="AJ73" s="156">
        <f t="shared" si="150"/>
        <v>0.29</v>
      </c>
      <c r="AK73" s="157">
        <f t="shared" si="10"/>
        <v>29.47</v>
      </c>
      <c r="AM73" s="78" t="s">
        <v>44</v>
      </c>
      <c r="AN73" s="154">
        <f aca="true" t="shared" si="158" ref="AN73:AU73">AA73*AN$6</f>
        <v>4.398063</v>
      </c>
      <c r="AO73" s="154">
        <f t="shared" si="158"/>
        <v>0</v>
      </c>
      <c r="AP73" s="154">
        <f t="shared" si="158"/>
        <v>55.06594169999999</v>
      </c>
      <c r="AQ73" s="154">
        <f t="shared" si="158"/>
        <v>8.3234256</v>
      </c>
      <c r="AR73" s="154">
        <f t="shared" si="158"/>
        <v>0</v>
      </c>
      <c r="AS73" s="154">
        <f t="shared" si="158"/>
        <v>0</v>
      </c>
      <c r="AT73" s="154">
        <f t="shared" si="158"/>
        <v>0</v>
      </c>
      <c r="AU73" s="154">
        <f t="shared" si="158"/>
        <v>8.5297244</v>
      </c>
      <c r="AV73" s="154">
        <f t="shared" si="152"/>
        <v>19.533493237432666</v>
      </c>
      <c r="AW73" s="154">
        <f t="shared" si="153"/>
        <v>1.4345187642109163</v>
      </c>
      <c r="AX73" s="157">
        <f>SUM(AN73:AW73)</f>
        <v>97.28516670164356</v>
      </c>
      <c r="AY73" s="94">
        <f ca="1" t="shared" si="154"/>
        <v>2.310199281112503</v>
      </c>
      <c r="AZ73" s="4" t="s">
        <v>94</v>
      </c>
      <c r="BA73" s="242">
        <f ca="1" t="shared" si="155"/>
        <v>2.350851731841439</v>
      </c>
      <c r="BB73" t="s">
        <v>94</v>
      </c>
    </row>
    <row r="74" spans="1:54" ht="12.75">
      <c r="A74" s="48" t="s">
        <v>45</v>
      </c>
      <c r="B74" s="254"/>
      <c r="C74" s="254"/>
      <c r="D74" s="254">
        <v>1.48</v>
      </c>
      <c r="E74" s="254"/>
      <c r="F74" s="254"/>
      <c r="G74" s="254"/>
      <c r="H74" s="254">
        <v>0.03</v>
      </c>
      <c r="I74" s="254"/>
      <c r="J74" s="254">
        <v>0.06</v>
      </c>
      <c r="K74" s="256">
        <v>0.02</v>
      </c>
      <c r="L74" s="234">
        <v>1.58</v>
      </c>
      <c r="N74" s="3" t="s">
        <v>45</v>
      </c>
      <c r="O74" s="24">
        <v>0</v>
      </c>
      <c r="P74" s="24">
        <v>0</v>
      </c>
      <c r="Q74" s="24">
        <v>0</v>
      </c>
      <c r="R74" s="24">
        <v>0</v>
      </c>
      <c r="S74" s="280">
        <v>0</v>
      </c>
      <c r="T74" s="280">
        <v>0</v>
      </c>
      <c r="U74" s="24">
        <v>0</v>
      </c>
      <c r="V74" s="24">
        <v>0</v>
      </c>
      <c r="W74" s="24">
        <v>0</v>
      </c>
      <c r="X74" s="24">
        <v>0</v>
      </c>
      <c r="Y74" s="29"/>
      <c r="Z74" s="3" t="s">
        <v>45</v>
      </c>
      <c r="AA74" s="154">
        <f t="shared" si="141"/>
        <v>0</v>
      </c>
      <c r="AB74" s="154">
        <f t="shared" si="142"/>
        <v>0</v>
      </c>
      <c r="AC74" s="154">
        <f t="shared" si="143"/>
        <v>1.48</v>
      </c>
      <c r="AD74" s="154">
        <f t="shared" si="144"/>
        <v>0</v>
      </c>
      <c r="AE74" s="154">
        <f t="shared" si="145"/>
        <v>0</v>
      </c>
      <c r="AF74" s="154">
        <f t="shared" si="146"/>
        <v>0</v>
      </c>
      <c r="AG74" s="154">
        <f t="shared" si="147"/>
        <v>0.03</v>
      </c>
      <c r="AH74" s="154">
        <f t="shared" si="148"/>
        <v>0</v>
      </c>
      <c r="AI74" s="154">
        <f t="shared" si="149"/>
        <v>0.06</v>
      </c>
      <c r="AJ74" s="154">
        <f t="shared" si="150"/>
        <v>0.02</v>
      </c>
      <c r="AK74" s="157">
        <f t="shared" si="10"/>
        <v>1.59</v>
      </c>
      <c r="AM74" s="78" t="s">
        <v>45</v>
      </c>
      <c r="AN74" s="709" t="s">
        <v>122</v>
      </c>
      <c r="AO74" s="154">
        <f aca="true" t="shared" si="159" ref="AO74:AU75">AB74*AO$6</f>
        <v>0</v>
      </c>
      <c r="AP74" s="154">
        <f t="shared" si="159"/>
        <v>4.6279156</v>
      </c>
      <c r="AQ74" s="154">
        <f t="shared" si="159"/>
        <v>0</v>
      </c>
      <c r="AR74" s="154">
        <f t="shared" si="159"/>
        <v>0</v>
      </c>
      <c r="AS74" s="154">
        <f t="shared" si="159"/>
        <v>0</v>
      </c>
      <c r="AT74" s="154">
        <f t="shared" si="159"/>
        <v>0</v>
      </c>
      <c r="AU74" s="154">
        <f t="shared" si="159"/>
        <v>0</v>
      </c>
      <c r="AV74" s="154">
        <f t="shared" si="152"/>
        <v>0.23773014082068153</v>
      </c>
      <c r="AW74" s="154">
        <f t="shared" si="153"/>
        <v>0.09893232856627009</v>
      </c>
      <c r="AX74" s="157">
        <f>SUM(AN74:AW74)</f>
        <v>4.964578069386951</v>
      </c>
      <c r="AY74" s="94">
        <f ca="1" t="shared" si="154"/>
        <v>0.11789222422878234</v>
      </c>
      <c r="AZ74" s="4" t="s">
        <v>94</v>
      </c>
      <c r="BA74" s="242">
        <f ca="1" t="shared" si="155"/>
        <v>0.1344537928436469</v>
      </c>
      <c r="BB74" t="s">
        <v>94</v>
      </c>
    </row>
    <row r="75" spans="1:54" ht="13.5" thickBot="1">
      <c r="A75" s="57" t="s">
        <v>35</v>
      </c>
      <c r="B75" s="255">
        <v>0.23</v>
      </c>
      <c r="C75" s="255"/>
      <c r="D75" s="237">
        <v>0.94</v>
      </c>
      <c r="E75" s="255">
        <v>8.43</v>
      </c>
      <c r="F75" s="255"/>
      <c r="G75" s="255"/>
      <c r="H75" s="237">
        <v>0.28</v>
      </c>
      <c r="I75" s="255">
        <v>0.01</v>
      </c>
      <c r="J75" s="255">
        <v>0.56</v>
      </c>
      <c r="K75" s="256">
        <v>4.84</v>
      </c>
      <c r="L75" s="257">
        <v>15.31</v>
      </c>
      <c r="M75" s="983"/>
      <c r="N75" s="984" t="s">
        <v>35</v>
      </c>
      <c r="O75" s="985">
        <v>0</v>
      </c>
      <c r="P75" s="985">
        <v>0</v>
      </c>
      <c r="Q75" s="985">
        <v>0</v>
      </c>
      <c r="R75" s="985">
        <v>0</v>
      </c>
      <c r="S75" s="986">
        <v>0</v>
      </c>
      <c r="T75" s="986">
        <v>0</v>
      </c>
      <c r="U75" s="985">
        <v>0</v>
      </c>
      <c r="V75" s="985">
        <v>0</v>
      </c>
      <c r="W75" s="985">
        <v>0</v>
      </c>
      <c r="X75" s="985">
        <v>0</v>
      </c>
      <c r="Y75" s="987"/>
      <c r="Z75" s="984" t="s">
        <v>35</v>
      </c>
      <c r="AA75" s="988">
        <f t="shared" si="141"/>
        <v>0.23</v>
      </c>
      <c r="AB75" s="988">
        <f t="shared" si="142"/>
        <v>0</v>
      </c>
      <c r="AC75" s="988">
        <f t="shared" si="143"/>
        <v>0.94</v>
      </c>
      <c r="AD75" s="988">
        <f t="shared" si="144"/>
        <v>8.43</v>
      </c>
      <c r="AE75" s="988">
        <f t="shared" si="145"/>
        <v>0</v>
      </c>
      <c r="AF75" s="988">
        <f t="shared" si="146"/>
        <v>0</v>
      </c>
      <c r="AG75" s="988">
        <f t="shared" si="147"/>
        <v>0.28</v>
      </c>
      <c r="AH75" s="988">
        <f t="shared" si="148"/>
        <v>0.01</v>
      </c>
      <c r="AI75" s="988">
        <f t="shared" si="149"/>
        <v>0.56</v>
      </c>
      <c r="AJ75" s="988">
        <f t="shared" si="150"/>
        <v>4.84</v>
      </c>
      <c r="AK75" s="989">
        <f t="shared" si="10"/>
        <v>15.29</v>
      </c>
      <c r="AL75" s="990"/>
      <c r="AM75" s="81" t="s">
        <v>35</v>
      </c>
      <c r="AN75" s="1033">
        <f>AA75*AN$6</f>
        <v>0.8873285</v>
      </c>
      <c r="AO75" s="988">
        <f t="shared" si="159"/>
        <v>0</v>
      </c>
      <c r="AP75" s="988">
        <f t="shared" si="159"/>
        <v>2.9393517999999994</v>
      </c>
      <c r="AQ75" s="988">
        <f t="shared" si="159"/>
        <v>19.171168799999997</v>
      </c>
      <c r="AR75" s="988">
        <f t="shared" si="159"/>
        <v>0</v>
      </c>
      <c r="AS75" s="988">
        <f t="shared" si="159"/>
        <v>0</v>
      </c>
      <c r="AT75" s="988">
        <f t="shared" si="159"/>
        <v>0</v>
      </c>
      <c r="AU75" s="988">
        <f t="shared" si="159"/>
        <v>0.0479198</v>
      </c>
      <c r="AV75" s="988">
        <f t="shared" si="152"/>
        <v>2.218814647659695</v>
      </c>
      <c r="AW75" s="988">
        <f t="shared" si="153"/>
        <v>23.941623513037364</v>
      </c>
      <c r="AX75" s="989">
        <f>SUM(AN75:AW75)</f>
        <v>49.206207060697054</v>
      </c>
      <c r="AY75" s="829">
        <f ca="1" t="shared" si="154"/>
        <v>1.1684838298784026</v>
      </c>
      <c r="AZ75" s="144" t="s">
        <v>94</v>
      </c>
      <c r="BA75" s="245">
        <f ca="1" t="shared" si="155"/>
        <v>1.1896640307050017</v>
      </c>
      <c r="BB75" s="134" t="s">
        <v>94</v>
      </c>
    </row>
    <row r="76" spans="1:54" s="252" customFormat="1" ht="22.5" customHeight="1" thickBot="1">
      <c r="A76" s="1348" t="s">
        <v>422</v>
      </c>
      <c r="C76" s="1345" t="s">
        <v>426</v>
      </c>
      <c r="D76" s="1346">
        <v>37</v>
      </c>
      <c r="E76" s="1343"/>
      <c r="F76" s="1343"/>
      <c r="G76" s="1345" t="s">
        <v>427</v>
      </c>
      <c r="H76" s="1351">
        <v>0.995</v>
      </c>
      <c r="I76" s="1344"/>
      <c r="J76" s="1347" t="s">
        <v>428</v>
      </c>
      <c r="K76" s="1352">
        <v>3.95</v>
      </c>
      <c r="L76" s="580" t="s">
        <v>94</v>
      </c>
      <c r="M76" s="1102"/>
      <c r="N76" s="64"/>
      <c r="O76" s="704"/>
      <c r="P76" s="704"/>
      <c r="Q76" s="704"/>
      <c r="R76" s="704"/>
      <c r="S76" s="704"/>
      <c r="T76" s="704"/>
      <c r="U76" s="704"/>
      <c r="V76" s="616"/>
      <c r="W76" s="616"/>
      <c r="X76" s="616"/>
      <c r="Y76" s="1103"/>
      <c r="Z76" s="64"/>
      <c r="AA76" s="166"/>
      <c r="AB76" s="166"/>
      <c r="AC76" s="166"/>
      <c r="AD76" s="166"/>
      <c r="AE76" s="166"/>
      <c r="AF76" s="166"/>
      <c r="AG76" s="166"/>
      <c r="AH76" s="166"/>
      <c r="AI76" s="166"/>
      <c r="AJ76" s="166"/>
      <c r="AK76" s="229"/>
      <c r="AL76" s="1102"/>
      <c r="AM76" s="64"/>
      <c r="AN76" s="699"/>
      <c r="AO76" s="699"/>
      <c r="AP76" s="699"/>
      <c r="AQ76" s="699"/>
      <c r="AR76" s="699"/>
      <c r="AS76" s="699"/>
      <c r="AT76" s="699"/>
      <c r="AU76" s="699"/>
      <c r="AV76" s="699"/>
      <c r="AW76" s="699"/>
      <c r="AX76" s="700"/>
      <c r="AY76" s="285">
        <f ca="1">AY35+AY37+AY51+AY68</f>
        <v>100</v>
      </c>
      <c r="AZ76" s="284" t="s">
        <v>94</v>
      </c>
      <c r="BA76" s="285">
        <f ca="1">BA35+BA37+BA51+BA68</f>
        <v>100.00027473993359</v>
      </c>
      <c r="BB76" s="252" t="s">
        <v>94</v>
      </c>
    </row>
    <row r="77" spans="1:54" s="252" customFormat="1" ht="16.5" customHeight="1">
      <c r="A77" s="278"/>
      <c r="B77" s="279"/>
      <c r="C77" s="279"/>
      <c r="D77" s="1349"/>
      <c r="E77" s="1250"/>
      <c r="F77" s="1250"/>
      <c r="G77" s="1035" t="s">
        <v>354</v>
      </c>
      <c r="H77" s="1350">
        <f>D53</f>
        <v>297.34</v>
      </c>
      <c r="I77" s="1408" t="s">
        <v>361</v>
      </c>
      <c r="J77" s="1408"/>
      <c r="K77" s="1408"/>
      <c r="L77" s="259"/>
      <c r="M77" s="1102"/>
      <c r="N77" s="64"/>
      <c r="O77" s="704"/>
      <c r="P77" s="704"/>
      <c r="Q77" s="704"/>
      <c r="R77" s="704"/>
      <c r="S77" s="704"/>
      <c r="T77" s="704"/>
      <c r="U77" s="704"/>
      <c r="V77" s="616"/>
      <c r="W77" s="616"/>
      <c r="X77" s="616"/>
      <c r="Y77" s="1103"/>
      <c r="Z77" s="64"/>
      <c r="AA77" s="166"/>
      <c r="AB77" s="166"/>
      <c r="AC77" s="166"/>
      <c r="AD77" s="166"/>
      <c r="AE77" s="166"/>
      <c r="AF77" s="166"/>
      <c r="AG77" s="166"/>
      <c r="AH77" s="166"/>
      <c r="AI77" s="166"/>
      <c r="AJ77" s="166"/>
      <c r="AK77" s="229"/>
      <c r="AL77" s="1102"/>
      <c r="AM77" s="64"/>
      <c r="AN77" s="699"/>
      <c r="AO77" s="699"/>
      <c r="AP77" s="699"/>
      <c r="AQ77" s="699"/>
      <c r="AR77" s="699"/>
      <c r="AS77" s="699"/>
      <c r="AT77" s="699"/>
      <c r="AU77" s="699"/>
      <c r="AV77" s="699"/>
      <c r="AW77" s="699"/>
      <c r="AX77" s="700"/>
      <c r="AY77" s="830"/>
      <c r="AZ77" s="279"/>
      <c r="BA77" s="281"/>
      <c r="BB77" s="282"/>
    </row>
    <row r="78" spans="1:50" s="252" customFormat="1" ht="12.75" customHeight="1">
      <c r="A78" s="259"/>
      <c r="B78" s="1249"/>
      <c r="C78" s="279"/>
      <c r="D78" s="1250"/>
      <c r="E78" s="1250"/>
      <c r="F78" s="1250"/>
      <c r="G78" s="1035" t="s">
        <v>355</v>
      </c>
      <c r="H78" s="1350">
        <f ca="1">AB55+AC55</f>
        <v>297.42003139751296</v>
      </c>
      <c r="I78" s="1408"/>
      <c r="J78" s="1408"/>
      <c r="K78" s="1408"/>
      <c r="L78" s="259"/>
      <c r="M78" s="1102"/>
      <c r="N78" s="12"/>
      <c r="O78" s="12"/>
      <c r="P78" s="12"/>
      <c r="Q78" s="12"/>
      <c r="R78" s="12"/>
      <c r="S78" s="12"/>
      <c r="T78" s="12"/>
      <c r="U78" s="12"/>
      <c r="V78" s="12"/>
      <c r="W78" s="12"/>
      <c r="X78" s="12"/>
      <c r="Y78" s="1104"/>
      <c r="Z78" s="12"/>
      <c r="AA78" s="229"/>
      <c r="AB78" s="229"/>
      <c r="AC78" s="229"/>
      <c r="AD78" s="229"/>
      <c r="AE78" s="229"/>
      <c r="AF78" s="229"/>
      <c r="AG78" s="229"/>
      <c r="AH78" s="229"/>
      <c r="AI78" s="229"/>
      <c r="AJ78" s="229"/>
      <c r="AK78" s="229"/>
      <c r="AL78" s="1102"/>
      <c r="AM78" s="12"/>
      <c r="AN78" s="700"/>
      <c r="AO78" s="700"/>
      <c r="AP78" s="700"/>
      <c r="AQ78" s="700"/>
      <c r="AR78" s="700"/>
      <c r="AS78" s="700"/>
      <c r="AT78" s="700"/>
      <c r="AU78" s="700"/>
      <c r="AV78" s="700"/>
      <c r="AW78" s="700"/>
      <c r="AX78" s="700"/>
    </row>
    <row r="79" spans="1:53" ht="16.5" customHeight="1">
      <c r="A79" s="55" t="s">
        <v>36</v>
      </c>
      <c r="B79" s="522" t="s">
        <v>245</v>
      </c>
      <c r="C79" s="277" t="s">
        <v>242</v>
      </c>
      <c r="D79" s="523" t="s">
        <v>243</v>
      </c>
      <c r="E79" s="277" t="s">
        <v>49</v>
      </c>
      <c r="F79" s="277"/>
      <c r="G79" s="277"/>
      <c r="H79" s="277"/>
      <c r="I79" s="277" t="s">
        <v>238</v>
      </c>
      <c r="J79" s="277" t="s">
        <v>244</v>
      </c>
      <c r="K79" s="254"/>
      <c r="L79" s="59"/>
      <c r="N79" s="12"/>
      <c r="O79" s="12"/>
      <c r="P79" s="12"/>
      <c r="Q79" s="12"/>
      <c r="R79" s="12"/>
      <c r="S79" s="12"/>
      <c r="T79" s="12"/>
      <c r="U79" s="12"/>
      <c r="V79" s="11"/>
      <c r="W79" s="11"/>
      <c r="X79" s="11"/>
      <c r="Y79" s="228"/>
      <c r="Z79" s="12"/>
      <c r="AA79" s="229"/>
      <c r="AB79" s="229"/>
      <c r="AC79" s="229"/>
      <c r="AD79" s="229"/>
      <c r="AE79" s="229"/>
      <c r="AF79" s="229"/>
      <c r="AG79" s="229"/>
      <c r="AH79" s="229"/>
      <c r="AI79" s="229"/>
      <c r="AJ79" s="229"/>
      <c r="AK79" s="229"/>
      <c r="AM79" s="12"/>
      <c r="AN79" s="699"/>
      <c r="AO79" s="700"/>
      <c r="AP79" s="700"/>
      <c r="AQ79" s="700"/>
      <c r="AR79" s="700"/>
      <c r="AS79" s="700"/>
      <c r="AT79" s="700"/>
      <c r="AU79" s="700"/>
      <c r="AV79" s="700"/>
      <c r="AW79" s="700"/>
      <c r="AX79" s="700"/>
      <c r="AY79" s="243"/>
      <c r="AZ79" s="4"/>
      <c r="BA79" s="243"/>
    </row>
    <row r="80" spans="1:53" ht="15.75" customHeight="1">
      <c r="A80" s="112"/>
      <c r="B80" s="49"/>
      <c r="C80" s="1398" t="s">
        <v>246</v>
      </c>
      <c r="D80" s="1398"/>
      <c r="E80" s="1398"/>
      <c r="F80" s="1398"/>
      <c r="G80" s="1398"/>
      <c r="H80" s="1398"/>
      <c r="I80" s="1398"/>
      <c r="J80" s="1398"/>
      <c r="K80" s="254"/>
      <c r="L80" s="214"/>
      <c r="N80" s="64"/>
      <c r="O80" s="705"/>
      <c r="P80" s="1391" t="s">
        <v>368</v>
      </c>
      <c r="Q80" s="1392"/>
      <c r="R80" s="1392"/>
      <c r="S80" s="1392"/>
      <c r="T80" s="1392"/>
      <c r="U80" s="1392"/>
      <c r="V80" s="1392"/>
      <c r="W80" s="1393"/>
      <c r="X80" s="616"/>
      <c r="Y80" s="692"/>
      <c r="Z80" s="64"/>
      <c r="AA80" s="703"/>
      <c r="AB80" s="166"/>
      <c r="AC80" s="166"/>
      <c r="AD80" s="166"/>
      <c r="AE80" s="166"/>
      <c r="AF80" s="166"/>
      <c r="AG80" s="166"/>
      <c r="AH80" s="166"/>
      <c r="AI80" s="166"/>
      <c r="AJ80" s="166"/>
      <c r="AK80" s="229"/>
      <c r="AM80" s="64"/>
      <c r="AN80" s="701"/>
      <c r="AO80" s="699"/>
      <c r="AP80" s="699"/>
      <c r="AQ80" s="699"/>
      <c r="AR80" s="699"/>
      <c r="AS80" s="699"/>
      <c r="AT80" s="699"/>
      <c r="AU80" s="699"/>
      <c r="AV80" s="699"/>
      <c r="AW80" s="699"/>
      <c r="AX80" s="700"/>
      <c r="AZ80" s="4"/>
      <c r="BA80" s="242"/>
    </row>
    <row r="81" spans="1:53" ht="12.75" customHeight="1">
      <c r="A81" s="212"/>
      <c r="B81" s="49"/>
      <c r="C81" s="1398" t="s">
        <v>381</v>
      </c>
      <c r="D81" s="1398"/>
      <c r="E81" s="1398"/>
      <c r="F81" s="1398"/>
      <c r="G81" s="1398"/>
      <c r="H81" s="1398"/>
      <c r="I81" s="1398"/>
      <c r="J81" s="1398"/>
      <c r="K81" s="254"/>
      <c r="L81" s="214"/>
      <c r="N81" s="196"/>
      <c r="O81" s="705"/>
      <c r="P81" s="1065" t="s">
        <v>258</v>
      </c>
      <c r="Q81" s="1065" t="s">
        <v>260</v>
      </c>
      <c r="R81" s="1065" t="s">
        <v>120</v>
      </c>
      <c r="S81" s="1098" t="s">
        <v>365</v>
      </c>
      <c r="T81" s="1065"/>
      <c r="U81" s="1065"/>
      <c r="V81" s="1065" t="s">
        <v>261</v>
      </c>
      <c r="W81" s="1065" t="s">
        <v>257</v>
      </c>
      <c r="X81" s="616"/>
      <c r="Y81" s="692"/>
      <c r="Z81" s="196"/>
      <c r="AA81" s="703"/>
      <c r="AB81" s="166"/>
      <c r="AC81" s="166"/>
      <c r="AD81" s="166"/>
      <c r="AE81" s="166"/>
      <c r="AF81" s="166"/>
      <c r="AG81" s="166"/>
      <c r="AH81" s="166"/>
      <c r="AI81" s="166"/>
      <c r="AJ81" s="166"/>
      <c r="AK81" s="229"/>
      <c r="AM81" s="64"/>
      <c r="AN81" s="701"/>
      <c r="AO81" s="699"/>
      <c r="AP81" s="699"/>
      <c r="AQ81" s="699"/>
      <c r="AR81" s="699"/>
      <c r="AS81" s="699"/>
      <c r="AT81" s="699"/>
      <c r="AU81" s="699"/>
      <c r="AV81" s="699"/>
      <c r="AW81" s="699"/>
      <c r="AX81" s="700"/>
      <c r="AZ81" s="4"/>
      <c r="BA81" s="242"/>
    </row>
    <row r="82" spans="1:53" ht="12.75">
      <c r="A82" s="48" t="s">
        <v>38</v>
      </c>
      <c r="B82" s="49"/>
      <c r="C82" s="611"/>
      <c r="D82" s="611"/>
      <c r="E82" s="611"/>
      <c r="F82" s="612"/>
      <c r="G82" s="612"/>
      <c r="H82" s="612"/>
      <c r="I82" s="611"/>
      <c r="J82" s="611"/>
      <c r="K82" s="254"/>
      <c r="L82" s="55"/>
      <c r="N82" s="279" t="s">
        <v>38</v>
      </c>
      <c r="O82" s="1063"/>
      <c r="P82" s="1065"/>
      <c r="Q82" s="1065"/>
      <c r="R82" s="1065"/>
      <c r="S82" s="1065"/>
      <c r="T82" s="1065"/>
      <c r="U82" s="1065"/>
      <c r="V82" s="1065"/>
      <c r="W82" s="1065"/>
      <c r="X82" s="280"/>
      <c r="Y82" s="692"/>
      <c r="Z82" s="64"/>
      <c r="AA82" s="703"/>
      <c r="AB82" s="166"/>
      <c r="AC82" s="166"/>
      <c r="AD82" s="166"/>
      <c r="AE82" s="166"/>
      <c r="AF82" s="166"/>
      <c r="AG82" s="166"/>
      <c r="AH82" s="166"/>
      <c r="AI82" s="166"/>
      <c r="AJ82" s="166"/>
      <c r="AK82" s="229"/>
      <c r="AM82" s="64"/>
      <c r="AN82" s="701"/>
      <c r="AO82" s="699"/>
      <c r="AP82" s="699"/>
      <c r="AQ82" s="699"/>
      <c r="AR82" s="699"/>
      <c r="AS82" s="699"/>
      <c r="AT82" s="699"/>
      <c r="AU82" s="699"/>
      <c r="AV82" s="699"/>
      <c r="AW82" s="699"/>
      <c r="AX82" s="700"/>
      <c r="AZ82" s="4"/>
      <c r="BA82" s="242"/>
    </row>
    <row r="83" spans="1:53" ht="12.75">
      <c r="A83" s="209" t="s">
        <v>127</v>
      </c>
      <c r="B83" s="210"/>
      <c r="C83" s="613"/>
      <c r="D83" s="613"/>
      <c r="E83" s="613"/>
      <c r="F83" s="614"/>
      <c r="G83" s="614"/>
      <c r="H83" s="614"/>
      <c r="I83" s="613"/>
      <c r="J83" s="613"/>
      <c r="K83" s="210"/>
      <c r="L83" s="222"/>
      <c r="N83" s="279" t="s">
        <v>127</v>
      </c>
      <c r="O83" s="1064"/>
      <c r="P83" s="702"/>
      <c r="Q83" s="702"/>
      <c r="R83" s="702"/>
      <c r="S83" s="702"/>
      <c r="T83" s="702"/>
      <c r="U83" s="702"/>
      <c r="V83" s="280"/>
      <c r="W83" s="280"/>
      <c r="X83" s="280"/>
      <c r="Y83" s="692"/>
      <c r="Z83" s="64"/>
      <c r="AA83" s="703"/>
      <c r="AB83" s="166"/>
      <c r="AC83" s="166"/>
      <c r="AD83" s="166"/>
      <c r="AE83" s="166"/>
      <c r="AF83" s="166"/>
      <c r="AG83" s="166"/>
      <c r="AH83" s="166"/>
      <c r="AI83" s="166"/>
      <c r="AJ83" s="166"/>
      <c r="AK83" s="229"/>
      <c r="AM83" s="64"/>
      <c r="AN83" s="701"/>
      <c r="AO83" s="699"/>
      <c r="AP83" s="699"/>
      <c r="AQ83" s="699"/>
      <c r="AR83" s="699"/>
      <c r="AS83" s="699"/>
      <c r="AT83" s="699"/>
      <c r="AU83" s="699"/>
      <c r="AV83" s="699"/>
      <c r="AW83" s="699"/>
      <c r="AX83" s="700"/>
      <c r="AZ83" s="4"/>
      <c r="BA83" s="244"/>
    </row>
    <row r="84" spans="1:53" ht="12.75">
      <c r="A84" s="213" t="s">
        <v>128</v>
      </c>
      <c r="B84" s="253"/>
      <c r="C84" s="812">
        <f ca="1">IF(INDIRECT("TransportStatEUOECD!"&amp;"AM"&amp;$D$76)*(1-(INDIRECT("TransportStatEUOECD!"&amp;"AD"&amp;$D$76)+INDIRECT("TransportStatEUOECD!"&amp;"AG"&amp;$D$76)))&gt;0,INDIRECT("TransportStatEUOECD!"&amp;"AM"&amp;$D$76)*(1-(INDIRECT("TransportStatEUOECD!"&amp;"AD"&amp;$D$76)+INDIRECT("TransportStatEUOECD!"&amp;"AG"&amp;$D$76))),C184*(INDIRECT("TransportStatEUOECD!"&amp;"D"&amp;$D$76))/TransportStatEUOECD!D37)</f>
        <v>534831.8564256601</v>
      </c>
      <c r="D84" s="812"/>
      <c r="E84" s="812">
        <f ca="1">IF(INDIRECT("TransportStatEUOECD!"&amp;"AM"&amp;$D$76)*INDIRECT("TransportStatEUOECD!"&amp;"AG"&amp;$D$76)&gt;0,INDIRECT("TransportStatEUOECD!"&amp;"AM"&amp;$D$76)*INDIRECT("TransportStatEUOECD!"&amp;"AG"&amp;$D$76),E184*INDIRECT("TransportStatEUOECD!"&amp;"D"&amp;$D$76)/TransportStatEUOECD!D37)</f>
        <v>25380.629749678334</v>
      </c>
      <c r="F84" s="813"/>
      <c r="G84" s="813"/>
      <c r="H84" s="813"/>
      <c r="I84" s="814"/>
      <c r="J84" s="812">
        <f ca="1">IF(INDIRECT("TransportStatEUOECD!"&amp;"AM"&amp;$D$76)*INDIRECT("TransportStatEUOECD!"&amp;"AD"&amp;$D$76)&gt;0,INDIRECT("TransportStatEUOECD!"&amp;"AM"&amp;$D$76)*INDIRECT("TransportStatEUOECD!"&amp;"AD"&amp;$D$76),J184*(INDIRECT("TransportStatEUOECD!"&amp;"D"&amp;$D$76))/TransportStatEUOECD!D37)</f>
        <v>1788.5280176144245</v>
      </c>
      <c r="K84" s="253"/>
      <c r="L84" s="223"/>
      <c r="N84" s="279" t="s">
        <v>128</v>
      </c>
      <c r="O84" s="1064"/>
      <c r="P84" s="1172"/>
      <c r="Q84" s="1173"/>
      <c r="R84" s="1173"/>
      <c r="S84" s="1174"/>
      <c r="T84" s="1174"/>
      <c r="U84" s="1174"/>
      <c r="V84" s="1174"/>
      <c r="W84" s="1175"/>
      <c r="X84" s="280"/>
      <c r="Y84" s="692"/>
      <c r="Z84" s="64"/>
      <c r="AA84" s="703"/>
      <c r="AB84" s="166"/>
      <c r="AC84" s="166"/>
      <c r="AD84" s="166"/>
      <c r="AE84" s="166"/>
      <c r="AF84" s="166"/>
      <c r="AG84" s="166"/>
      <c r="AH84" s="166"/>
      <c r="AI84" s="166"/>
      <c r="AJ84" s="166"/>
      <c r="AK84" s="229"/>
      <c r="AM84" s="64"/>
      <c r="AN84" s="701"/>
      <c r="AO84" s="699"/>
      <c r="AP84" s="699"/>
      <c r="AQ84" s="699"/>
      <c r="AR84" s="699"/>
      <c r="AS84" s="699"/>
      <c r="AT84" s="699"/>
      <c r="AU84" s="699"/>
      <c r="AV84" s="699"/>
      <c r="AW84" s="699"/>
      <c r="AX84" s="700"/>
      <c r="AZ84" s="4"/>
      <c r="BA84" s="244"/>
    </row>
    <row r="85" spans="1:53" ht="12.75">
      <c r="A85" s="276" t="s">
        <v>259</v>
      </c>
      <c r="B85" s="253"/>
      <c r="C85" s="812">
        <f ca="1">IF(INDIRECT("TransportStatEUOECD!"&amp;"W"&amp;$D$76)*INDIRECT("TransportStatEUOECD!"&amp;"Q"&amp;$D$76)&gt;0,INDIRECT("TransportStatEUOECD!"&amp;"W"&amp;$D$76)*INDIRECT("TransportStatEUOECD!"&amp;"Q"&amp;$D$76),C185*(INDIRECT("TransportStatEUOECD!"&amp;"D"&amp;$D$76))/TransportStatEUOECD!D37)</f>
        <v>1622885.2558107344</v>
      </c>
      <c r="D85" s="812">
        <f ca="1">IF(INDIRECT("TransportStatEUOECD!"&amp;"W"&amp;$D$76)*(1-INDIRECT("TransportStatEUOECD!"&amp;"Q"&amp;$D$76))&gt;0,INDIRECT("TransportStatEUOECD!"&amp;"W"&amp;$D$76)*(1-INDIRECT("TransportStatEUOECD!"&amp;"Q"&amp;$D$76)),D185*(INDIRECT("TransportStatEUOECD!"&amp;"D"&amp;$D$76))/TransportStatEUOECD!D37)</f>
        <v>3742645.559935518</v>
      </c>
      <c r="E85" s="812"/>
      <c r="F85" s="813"/>
      <c r="G85" s="813"/>
      <c r="H85" s="813"/>
      <c r="I85" s="814"/>
      <c r="J85" s="812">
        <f ca="1">IF(INDIRECT("TransportStatEUOECD!"&amp;"W"&amp;$D$76)*J114&gt;0,INDIRECT("TransportStatEUOECD!"&amp;"W"&amp;$D$76)*J114,J185*(INDIRECT("TransportStatEUOECD!"&amp;"D"&amp;$D$76))/TransportStatEUOECD!D37)</f>
        <v>536.5530815746253</v>
      </c>
      <c r="K85" s="253"/>
      <c r="L85" s="223"/>
      <c r="N85" s="279" t="s">
        <v>259</v>
      </c>
      <c r="O85" s="1064"/>
      <c r="P85" s="1176"/>
      <c r="Q85" s="1177"/>
      <c r="R85" s="1177"/>
      <c r="S85" s="1178"/>
      <c r="T85" s="1178"/>
      <c r="U85" s="1178"/>
      <c r="V85" s="1178"/>
      <c r="W85" s="1179"/>
      <c r="X85" s="280"/>
      <c r="Y85" s="692"/>
      <c r="Z85" s="64"/>
      <c r="AA85" s="703"/>
      <c r="AB85" s="166"/>
      <c r="AC85" s="166"/>
      <c r="AD85" s="166"/>
      <c r="AE85" s="166"/>
      <c r="AF85" s="166"/>
      <c r="AG85" s="166"/>
      <c r="AH85" s="166"/>
      <c r="AI85" s="166"/>
      <c r="AJ85" s="166"/>
      <c r="AK85" s="229"/>
      <c r="AM85" s="64"/>
      <c r="AN85" s="701"/>
      <c r="AO85" s="699"/>
      <c r="AP85" s="699"/>
      <c r="AQ85" s="699"/>
      <c r="AR85" s="699"/>
      <c r="AS85" s="699"/>
      <c r="AT85" s="699"/>
      <c r="AU85" s="699"/>
      <c r="AV85" s="699"/>
      <c r="AW85" s="699"/>
      <c r="AX85" s="700"/>
      <c r="AZ85" s="4"/>
      <c r="BA85" s="244"/>
    </row>
    <row r="86" spans="1:53" ht="12.75">
      <c r="A86" s="216" t="s">
        <v>134</v>
      </c>
      <c r="B86" s="253"/>
      <c r="C86" s="813"/>
      <c r="D86" s="813"/>
      <c r="E86" s="815">
        <v>0</v>
      </c>
      <c r="F86" s="813"/>
      <c r="G86" s="813"/>
      <c r="H86" s="813"/>
      <c r="I86" s="814">
        <v>0</v>
      </c>
      <c r="J86" s="812">
        <v>0</v>
      </c>
      <c r="K86" s="253"/>
      <c r="L86" s="223"/>
      <c r="N86" s="279" t="s">
        <v>134</v>
      </c>
      <c r="O86" s="1064"/>
      <c r="P86" s="1180"/>
      <c r="Q86" s="1178"/>
      <c r="R86" s="1178"/>
      <c r="S86" s="1177">
        <f ca="1">0.01*SUM(C84:J85)</f>
        <v>59280.6838302078</v>
      </c>
      <c r="T86" s="1178"/>
      <c r="U86" s="1178"/>
      <c r="V86" s="1178"/>
      <c r="W86" s="1181"/>
      <c r="X86" s="280"/>
      <c r="Y86" s="692"/>
      <c r="Z86" s="64"/>
      <c r="AA86" s="703"/>
      <c r="AB86" s="166"/>
      <c r="AC86" s="166"/>
      <c r="AD86" s="166"/>
      <c r="AE86" s="166"/>
      <c r="AF86" s="166"/>
      <c r="AG86" s="166"/>
      <c r="AH86" s="166"/>
      <c r="AI86" s="166"/>
      <c r="AJ86" s="166"/>
      <c r="AK86" s="229"/>
      <c r="AM86" s="64"/>
      <c r="AN86" s="701"/>
      <c r="AO86" s="699"/>
      <c r="AP86" s="699"/>
      <c r="AQ86" s="699"/>
      <c r="AR86" s="699"/>
      <c r="AS86" s="699"/>
      <c r="AT86" s="699"/>
      <c r="AU86" s="699"/>
      <c r="AV86" s="699"/>
      <c r="AW86" s="699"/>
      <c r="AX86" s="700"/>
      <c r="AZ86" s="4"/>
      <c r="BA86" s="244"/>
    </row>
    <row r="87" spans="1:53" ht="12.75">
      <c r="A87" s="213" t="s">
        <v>131</v>
      </c>
      <c r="B87" s="253"/>
      <c r="C87" s="813"/>
      <c r="D87" s="813"/>
      <c r="E87" s="815"/>
      <c r="F87" s="813"/>
      <c r="G87" s="813"/>
      <c r="H87" s="813"/>
      <c r="I87" s="814"/>
      <c r="J87" s="813"/>
      <c r="K87" s="253"/>
      <c r="L87" s="260"/>
      <c r="N87" s="279" t="s">
        <v>131</v>
      </c>
      <c r="O87" s="1064"/>
      <c r="P87" s="1180"/>
      <c r="Q87" s="1178"/>
      <c r="R87" s="1178"/>
      <c r="S87" s="1177">
        <f ca="1">0.005*SUM(C84:J85)</f>
        <v>29640.3419151039</v>
      </c>
      <c r="T87" s="1178"/>
      <c r="U87" s="1178"/>
      <c r="V87" s="1178"/>
      <c r="W87" s="1181"/>
      <c r="X87" s="280"/>
      <c r="Y87" s="692"/>
      <c r="Z87" s="64"/>
      <c r="AA87" s="703"/>
      <c r="AB87" s="166"/>
      <c r="AC87" s="166"/>
      <c r="AD87" s="166"/>
      <c r="AE87" s="166"/>
      <c r="AF87" s="166"/>
      <c r="AG87" s="166"/>
      <c r="AH87" s="166"/>
      <c r="AI87" s="166"/>
      <c r="AJ87" s="166"/>
      <c r="AK87" s="229"/>
      <c r="AM87" s="64"/>
      <c r="AN87" s="701"/>
      <c r="AO87" s="699"/>
      <c r="AP87" s="699"/>
      <c r="AQ87" s="699"/>
      <c r="AR87" s="699"/>
      <c r="AS87" s="699"/>
      <c r="AT87" s="699"/>
      <c r="AU87" s="699"/>
      <c r="AV87" s="699"/>
      <c r="AW87" s="699"/>
      <c r="AX87" s="700"/>
      <c r="AZ87" s="4"/>
      <c r="BA87" s="244"/>
    </row>
    <row r="88" spans="1:53" ht="12.75">
      <c r="A88" s="209" t="s">
        <v>132</v>
      </c>
      <c r="B88" s="210"/>
      <c r="C88" s="812">
        <f ca="1">IF(INDIRECT("TransportStatEUOECD!"&amp;"BC"&amp;$D$76)&gt;0,INDIRECT("TransportStatEUOECD!"&amp;"BC"&amp;$D$76),C188*(INDIRECT("TransportStatEUOECD!"&amp;"D"&amp;$D$76))/TransportStatEUOECD!D37)</f>
        <v>2032108.0049498363</v>
      </c>
      <c r="D88" s="812"/>
      <c r="E88" s="812"/>
      <c r="F88" s="813"/>
      <c r="G88" s="813"/>
      <c r="H88" s="813"/>
      <c r="I88" s="814"/>
      <c r="J88" s="812"/>
      <c r="K88" s="210"/>
      <c r="L88" s="222"/>
      <c r="N88" s="279" t="s">
        <v>132</v>
      </c>
      <c r="O88" s="1064"/>
      <c r="P88" s="1176"/>
      <c r="Q88" s="1177"/>
      <c r="R88" s="1177"/>
      <c r="S88" s="1178"/>
      <c r="T88" s="1178"/>
      <c r="U88" s="1178"/>
      <c r="V88" s="1178"/>
      <c r="W88" s="1179"/>
      <c r="X88" s="280"/>
      <c r="Y88" s="692"/>
      <c r="Z88" s="64"/>
      <c r="AA88" s="703"/>
      <c r="AB88" s="166"/>
      <c r="AC88" s="166"/>
      <c r="AD88" s="166"/>
      <c r="AE88" s="166"/>
      <c r="AF88" s="166"/>
      <c r="AG88" s="166"/>
      <c r="AH88" s="166"/>
      <c r="AI88" s="166"/>
      <c r="AJ88" s="166"/>
      <c r="AK88" s="229"/>
      <c r="AM88" s="64"/>
      <c r="AN88" s="701"/>
      <c r="AO88" s="699"/>
      <c r="AP88" s="699"/>
      <c r="AQ88" s="699"/>
      <c r="AR88" s="699"/>
      <c r="AS88" s="699"/>
      <c r="AT88" s="699"/>
      <c r="AU88" s="699"/>
      <c r="AV88" s="699"/>
      <c r="AW88" s="699"/>
      <c r="AX88" s="700"/>
      <c r="AZ88" s="4"/>
      <c r="BA88" s="244"/>
    </row>
    <row r="89" spans="1:53" ht="12.75">
      <c r="A89" s="48" t="s">
        <v>39</v>
      </c>
      <c r="B89" s="49"/>
      <c r="C89" s="813"/>
      <c r="D89" s="813"/>
      <c r="E89" s="813"/>
      <c r="F89" s="813"/>
      <c r="G89" s="813"/>
      <c r="H89" s="813"/>
      <c r="I89" s="814"/>
      <c r="J89" s="813"/>
      <c r="K89" s="254"/>
      <c r="L89" s="55"/>
      <c r="N89" s="279" t="s">
        <v>39</v>
      </c>
      <c r="O89" s="702"/>
      <c r="P89" s="1180"/>
      <c r="Q89" s="1178"/>
      <c r="R89" s="1178"/>
      <c r="S89" s="1178"/>
      <c r="T89" s="1178"/>
      <c r="U89" s="1178"/>
      <c r="V89" s="1178"/>
      <c r="W89" s="1181"/>
      <c r="X89" s="280"/>
      <c r="Y89" s="692"/>
      <c r="Z89" s="64"/>
      <c r="AA89" s="166"/>
      <c r="AB89" s="166"/>
      <c r="AC89" s="166"/>
      <c r="AD89" s="166"/>
      <c r="AE89" s="166"/>
      <c r="AF89" s="166"/>
      <c r="AG89" s="166"/>
      <c r="AH89" s="166"/>
      <c r="AI89" s="166"/>
      <c r="AJ89" s="166"/>
      <c r="AK89" s="229"/>
      <c r="AM89" s="64"/>
      <c r="AN89" s="699"/>
      <c r="AO89" s="699"/>
      <c r="AP89" s="699"/>
      <c r="AQ89" s="699"/>
      <c r="AR89" s="699"/>
      <c r="AS89" s="699"/>
      <c r="AT89" s="699"/>
      <c r="AU89" s="699"/>
      <c r="AV89" s="699"/>
      <c r="AW89" s="699"/>
      <c r="AX89" s="700"/>
      <c r="AZ89" s="4"/>
      <c r="BA89" s="242"/>
    </row>
    <row r="90" spans="1:53" ht="12.75">
      <c r="A90" s="209" t="s">
        <v>127</v>
      </c>
      <c r="B90" s="210"/>
      <c r="C90" s="812">
        <f ca="1">IF(INDIRECT("TransportStatEUOECD!"&amp;"BU"&amp;$D$76)*C119&gt;0,INDIRECT("TransportStatEUOECD!"&amp;"BU"&amp;$D$76)*C119,C190*(INDIRECT("TransportStatEUOECD!"&amp;"D"&amp;$D$76))/TransportStatEUOECD!D37)</f>
        <v>60168.83620688192</v>
      </c>
      <c r="D90" s="812"/>
      <c r="E90" s="813"/>
      <c r="F90" s="813"/>
      <c r="G90" s="813"/>
      <c r="H90" s="813"/>
      <c r="I90" s="814"/>
      <c r="J90" s="812">
        <f ca="1">IF(INDIRECT("TransportStatEUOECD!"&amp;"BU"&amp;$D$76)*J119&gt;0,INDIRECT("TransportStatEUOECD!"&amp;"BU"&amp;$D$76)*J119,J190*(INDIRECT("TransportStatEUOECD!"&amp;"D"&amp;$D$76))/TransportStatEUOECD!D37)</f>
        <v>364185.1671189356</v>
      </c>
      <c r="K90" s="210"/>
      <c r="L90" s="222"/>
      <c r="N90" s="279" t="s">
        <v>127</v>
      </c>
      <c r="O90" s="702"/>
      <c r="P90" s="1176"/>
      <c r="Q90" s="1177"/>
      <c r="R90" s="1177"/>
      <c r="S90" s="1178"/>
      <c r="T90" s="1178"/>
      <c r="U90" s="1178"/>
      <c r="V90" s="1178"/>
      <c r="W90" s="1179"/>
      <c r="X90" s="280"/>
      <c r="Y90" s="692"/>
      <c r="Z90" s="64"/>
      <c r="AA90" s="166"/>
      <c r="AB90" s="166"/>
      <c r="AC90" s="166"/>
      <c r="AD90" s="166"/>
      <c r="AE90" s="166"/>
      <c r="AF90" s="166"/>
      <c r="AG90" s="166"/>
      <c r="AH90" s="166"/>
      <c r="AI90" s="166"/>
      <c r="AJ90" s="166"/>
      <c r="AK90" s="229"/>
      <c r="AM90" s="64"/>
      <c r="AN90" s="699"/>
      <c r="AO90" s="699"/>
      <c r="AP90" s="699"/>
      <c r="AQ90" s="699"/>
      <c r="AR90" s="699"/>
      <c r="AS90" s="699"/>
      <c r="AT90" s="699"/>
      <c r="AU90" s="699"/>
      <c r="AV90" s="699"/>
      <c r="AW90" s="699"/>
      <c r="AX90" s="700"/>
      <c r="AZ90" s="4"/>
      <c r="BA90" s="244"/>
    </row>
    <row r="91" spans="1:53" ht="12.75">
      <c r="A91" s="209" t="s">
        <v>132</v>
      </c>
      <c r="B91" s="210"/>
      <c r="C91" s="812">
        <f ca="1">IF(INDIRECT("TransportStatEUOECD!"&amp;"CD"&amp;$D$76)*C120&gt;0,INDIRECT("TransportStatEUOECD!"&amp;"CD"&amp;$D$76)*C120,C191*(INDIRECT("TransportStatEUOECD!"&amp;"D"&amp;$D$76))/TransportStatEUOECD!D37)</f>
        <v>72901.06294932905</v>
      </c>
      <c r="D91" s="812"/>
      <c r="E91" s="813"/>
      <c r="F91" s="813"/>
      <c r="G91" s="813"/>
      <c r="H91" s="813"/>
      <c r="I91" s="814"/>
      <c r="J91" s="812">
        <f ca="1">IF(INDIRECT("TransportStatEUOECD!"&amp;"CD"&amp;$D$76)*J120&gt;0,INDIRECT("TransportStatEUOECD!"&amp;"CD"&amp;$D$76)*J120,J191*(INDIRECT("TransportStatEUOECD!"&amp;"D"&amp;$D$76))/TransportStatEUOECD!D37)</f>
        <v>341728.59654658195</v>
      </c>
      <c r="K91" s="210"/>
      <c r="L91" s="211"/>
      <c r="N91" s="279" t="s">
        <v>132</v>
      </c>
      <c r="O91" s="702"/>
      <c r="P91" s="1182"/>
      <c r="Q91" s="1183"/>
      <c r="R91" s="1183"/>
      <c r="S91" s="1184"/>
      <c r="T91" s="1184"/>
      <c r="U91" s="1184"/>
      <c r="V91" s="1184"/>
      <c r="W91" s="1185"/>
      <c r="X91" s="280"/>
      <c r="Y91" s="692"/>
      <c r="Z91" s="64"/>
      <c r="AA91" s="166"/>
      <c r="AB91" s="166"/>
      <c r="AC91" s="166"/>
      <c r="AD91" s="166"/>
      <c r="AE91" s="166"/>
      <c r="AF91" s="166"/>
      <c r="AG91" s="166"/>
      <c r="AH91" s="166"/>
      <c r="AI91" s="166"/>
      <c r="AJ91" s="166"/>
      <c r="AK91" s="229"/>
      <c r="AM91" s="64"/>
      <c r="AN91" s="699"/>
      <c r="AO91" s="699"/>
      <c r="AP91" s="699"/>
      <c r="AQ91" s="699"/>
      <c r="AR91" s="699"/>
      <c r="AS91" s="699"/>
      <c r="AT91" s="699"/>
      <c r="AU91" s="699"/>
      <c r="AV91" s="699"/>
      <c r="AW91" s="699"/>
      <c r="AX91" s="700"/>
      <c r="AZ91" s="4"/>
      <c r="BA91" s="242"/>
    </row>
    <row r="92" spans="1:53" ht="12.75">
      <c r="A92" s="221"/>
      <c r="B92" s="258"/>
      <c r="C92" s="258"/>
      <c r="D92" s="258"/>
      <c r="E92" s="258"/>
      <c r="F92" s="258"/>
      <c r="G92" s="258"/>
      <c r="H92" s="258"/>
      <c r="I92" s="258"/>
      <c r="J92" s="258"/>
      <c r="K92" s="258"/>
      <c r="L92" s="259"/>
      <c r="N92" s="279"/>
      <c r="O92" s="1063"/>
      <c r="P92" s="1094"/>
      <c r="Q92" s="1094"/>
      <c r="R92" s="1094"/>
      <c r="S92" s="1094"/>
      <c r="T92" s="1094"/>
      <c r="U92" s="1094"/>
      <c r="V92" s="1095"/>
      <c r="W92" s="1095"/>
      <c r="X92" s="280"/>
      <c r="Y92" s="692"/>
      <c r="Z92" s="64"/>
      <c r="AA92" s="703"/>
      <c r="AB92" s="166"/>
      <c r="AC92" s="166"/>
      <c r="AD92" s="166"/>
      <c r="AE92" s="166"/>
      <c r="AF92" s="166"/>
      <c r="AG92" s="166"/>
      <c r="AH92" s="166"/>
      <c r="AI92" s="166"/>
      <c r="AJ92" s="166"/>
      <c r="AK92" s="229"/>
      <c r="AM92" s="64"/>
      <c r="AN92" s="701"/>
      <c r="AO92" s="699"/>
      <c r="AP92" s="699"/>
      <c r="AQ92" s="699"/>
      <c r="AR92" s="699"/>
      <c r="AS92" s="699"/>
      <c r="AT92" s="699"/>
      <c r="AU92" s="699"/>
      <c r="AV92" s="699"/>
      <c r="AW92" s="699"/>
      <c r="AX92" s="700"/>
      <c r="AZ92" s="4"/>
      <c r="BA92" s="242"/>
    </row>
    <row r="93" spans="2:50" ht="12.75">
      <c r="B93" s="1138" t="s">
        <v>382</v>
      </c>
      <c r="N93" s="252"/>
      <c r="O93" s="252"/>
      <c r="P93" s="1096"/>
      <c r="Q93" s="1096"/>
      <c r="R93" s="1096"/>
      <c r="S93" s="1096"/>
      <c r="T93" s="1096"/>
      <c r="U93" s="1096"/>
      <c r="V93" s="1096"/>
      <c r="W93" s="1096"/>
      <c r="X93" s="252"/>
      <c r="Z93" s="65"/>
      <c r="AA93" s="166"/>
      <c r="AB93" s="166"/>
      <c r="AC93" s="166"/>
      <c r="AD93" s="166"/>
      <c r="AE93" s="166"/>
      <c r="AF93" s="166"/>
      <c r="AG93" s="166"/>
      <c r="AH93" s="166"/>
      <c r="AI93" s="166"/>
      <c r="AJ93" s="166"/>
      <c r="AK93" s="166"/>
      <c r="AM93" s="65"/>
      <c r="AN93" s="65"/>
      <c r="AO93" s="65"/>
      <c r="AP93" s="65"/>
      <c r="AQ93" s="65"/>
      <c r="AR93" s="65"/>
      <c r="AS93" s="65"/>
      <c r="AT93" s="65"/>
      <c r="AU93" s="65"/>
      <c r="AV93" s="65"/>
      <c r="AW93" s="65"/>
      <c r="AX93" s="65"/>
    </row>
    <row r="94" spans="2:24" ht="12.75">
      <c r="B94" s="7" t="s">
        <v>72</v>
      </c>
      <c r="N94" s="252"/>
      <c r="O94" s="1382" t="s">
        <v>371</v>
      </c>
      <c r="P94" s="1383"/>
      <c r="Q94" s="1383"/>
      <c r="R94" s="1383"/>
      <c r="S94" s="1383"/>
      <c r="T94" s="1383"/>
      <c r="U94" s="1383"/>
      <c r="V94" s="1383"/>
      <c r="W94" s="1384"/>
      <c r="X94" s="252"/>
    </row>
    <row r="95" spans="14:24" ht="12.75">
      <c r="N95" s="252"/>
      <c r="O95" s="1385"/>
      <c r="P95" s="1386"/>
      <c r="Q95" s="1386"/>
      <c r="R95" s="1386"/>
      <c r="S95" s="1386"/>
      <c r="T95" s="1386"/>
      <c r="U95" s="1386"/>
      <c r="V95" s="1386"/>
      <c r="W95" s="1387"/>
      <c r="X95" s="252"/>
    </row>
    <row r="96" spans="3:24" ht="12.75" customHeight="1">
      <c r="C96" s="1353"/>
      <c r="D96" s="1353"/>
      <c r="E96" s="1353"/>
      <c r="N96" s="252"/>
      <c r="O96" s="1385"/>
      <c r="P96" s="1386"/>
      <c r="Q96" s="1386"/>
      <c r="R96" s="1386"/>
      <c r="S96" s="1386"/>
      <c r="T96" s="1386"/>
      <c r="U96" s="1386"/>
      <c r="V96" s="1386"/>
      <c r="W96" s="1387"/>
      <c r="X96" s="252"/>
    </row>
    <row r="97" spans="3:24" ht="12.75">
      <c r="C97" s="1353"/>
      <c r="D97" s="1353"/>
      <c r="E97" s="1353"/>
      <c r="N97" s="252"/>
      <c r="O97" s="1388"/>
      <c r="P97" s="1389"/>
      <c r="Q97" s="1389"/>
      <c r="R97" s="1389"/>
      <c r="S97" s="1389"/>
      <c r="T97" s="1389"/>
      <c r="U97" s="1389"/>
      <c r="V97" s="1389"/>
      <c r="W97" s="1390"/>
      <c r="X97" s="252"/>
    </row>
    <row r="98" spans="1:24" ht="12.75">
      <c r="A98" s="1354"/>
      <c r="N98" s="252"/>
      <c r="O98" s="252"/>
      <c r="P98" s="1096"/>
      <c r="Q98" s="1096"/>
      <c r="R98" s="1096"/>
      <c r="S98" s="1096"/>
      <c r="T98" s="1096"/>
      <c r="U98" s="1096"/>
      <c r="V98" s="1096"/>
      <c r="W98" s="1096"/>
      <c r="X98" s="252"/>
    </row>
    <row r="99" spans="1:24" ht="12.75" customHeight="1">
      <c r="A99" s="48" t="s">
        <v>38</v>
      </c>
      <c r="C99" s="1399" t="s">
        <v>281</v>
      </c>
      <c r="D99" s="1399"/>
      <c r="E99" s="1399"/>
      <c r="F99" s="1399"/>
      <c r="G99" s="1399"/>
      <c r="H99" s="1399"/>
      <c r="I99" s="1399"/>
      <c r="J99" s="1399"/>
      <c r="N99" s="252"/>
      <c r="O99" s="252"/>
      <c r="P99" s="1394" t="s">
        <v>281</v>
      </c>
      <c r="Q99" s="1395"/>
      <c r="R99" s="1395"/>
      <c r="S99" s="1395"/>
      <c r="T99" s="1395"/>
      <c r="U99" s="1395"/>
      <c r="V99" s="1395"/>
      <c r="W99" s="1395"/>
      <c r="X99" s="252"/>
    </row>
    <row r="100" spans="1:24" ht="12.75">
      <c r="A100" s="209" t="s">
        <v>127</v>
      </c>
      <c r="C100" s="586" t="s">
        <v>258</v>
      </c>
      <c r="D100" s="586" t="s">
        <v>260</v>
      </c>
      <c r="E100" s="586" t="s">
        <v>120</v>
      </c>
      <c r="F100" s="596"/>
      <c r="G100" s="91"/>
      <c r="H100" s="1"/>
      <c r="I100" s="586" t="s">
        <v>261</v>
      </c>
      <c r="J100" s="586" t="s">
        <v>257</v>
      </c>
      <c r="N100" s="252"/>
      <c r="O100" s="252"/>
      <c r="P100" s="1096" t="s">
        <v>258</v>
      </c>
      <c r="Q100" s="1096" t="s">
        <v>260</v>
      </c>
      <c r="R100" s="1096" t="s">
        <v>120</v>
      </c>
      <c r="S100" s="1096"/>
      <c r="T100" s="1096"/>
      <c r="U100" s="1096"/>
      <c r="V100" s="1096" t="s">
        <v>261</v>
      </c>
      <c r="W100" s="1096" t="s">
        <v>257</v>
      </c>
      <c r="X100" s="252"/>
    </row>
    <row r="101" spans="1:24" ht="12.75">
      <c r="A101" s="213" t="s">
        <v>128</v>
      </c>
      <c r="B101" s="580" t="s">
        <v>278</v>
      </c>
      <c r="C101" s="600">
        <f ca="1">(1-I113)*(G136*B125)/(B113*C125)</f>
        <v>19.853217572594737</v>
      </c>
      <c r="D101" s="600"/>
      <c r="E101" s="602">
        <f ca="1">(G136*B125)/(B113*E125)</f>
        <v>34.44944919763098</v>
      </c>
      <c r="F101" s="17"/>
      <c r="G101" s="17"/>
      <c r="H101" s="17"/>
      <c r="I101" s="600">
        <f ca="1">I113*(G136*B125)/(B113*I125)</f>
        <v>0.8164519459838544</v>
      </c>
      <c r="J101" s="604">
        <f ca="1">G136*B125/(B113*J125)</f>
        <v>10.334834759289297</v>
      </c>
      <c r="K101" s="538"/>
      <c r="L101" s="581"/>
      <c r="N101" s="252"/>
      <c r="O101" s="258" t="s">
        <v>278</v>
      </c>
      <c r="P101" s="1065">
        <f ca="1">(1-(I113+V113))*(G136*(B125+O125))/((B113+O113)*(C125+P125))</f>
        <v>19.853217572594737</v>
      </c>
      <c r="Q101" s="1065"/>
      <c r="R101" s="1065">
        <f ca="1">(G136*(B125+O125))/((B113+O113)*(E125+R125))</f>
        <v>34.44944919763098</v>
      </c>
      <c r="S101" s="1065"/>
      <c r="T101" s="1065"/>
      <c r="U101" s="1065"/>
      <c r="V101" s="1065">
        <f ca="1">(I113+V113)*(G136*(B125+O125))/((B113+O113)*(I125+V125))</f>
        <v>0.8164519459838544</v>
      </c>
      <c r="W101" s="1065">
        <f ca="1">G136*(B125+O125)/((B113+O113)*(J125+W125))</f>
        <v>10.334834759289297</v>
      </c>
      <c r="X101" s="258"/>
    </row>
    <row r="102" spans="1:24" ht="12.75">
      <c r="A102" s="276" t="s">
        <v>259</v>
      </c>
      <c r="B102" s="580" t="s">
        <v>278</v>
      </c>
      <c r="C102" s="600">
        <f ca="1">(1-I114)*(G137*B126)/(B114*C126)</f>
        <v>33.79616369411444</v>
      </c>
      <c r="D102" s="600">
        <f ca="1">(1-I114)*(G137*B126)/(B114*D126)</f>
        <v>46.08567776470151</v>
      </c>
      <c r="E102" s="602"/>
      <c r="F102" s="17"/>
      <c r="G102" s="17"/>
      <c r="H102" s="17"/>
      <c r="I102" s="600">
        <f ca="1">I114*(G137*B126)/(B114*I126)</f>
        <v>1.667816927747032</v>
      </c>
      <c r="J102" s="604">
        <f ca="1">(G137*B126)/(B114*J126)</f>
        <v>15.079719057387269</v>
      </c>
      <c r="K102" s="538"/>
      <c r="L102" s="581"/>
      <c r="N102" s="252"/>
      <c r="O102" s="258" t="s">
        <v>278</v>
      </c>
      <c r="P102" s="1065">
        <f ca="1">(1-(I114+V114))*(G137*(B126+O126))/((B114+O114)*(C126+P126))</f>
        <v>33.79616369411444</v>
      </c>
      <c r="Q102" s="1065">
        <f ca="1">(1-(I114+V114))*(G137*(B126+O126))/((B114+O114)*(D126+Q126))</f>
        <v>46.08567776470151</v>
      </c>
      <c r="R102" s="1065"/>
      <c r="S102" s="1065"/>
      <c r="T102" s="1065"/>
      <c r="U102" s="1065"/>
      <c r="V102" s="1065">
        <f ca="1">(I114+V114)*(G137*(B126+O126))/((B114+O114)*(I126+V126))</f>
        <v>1.667816927747032</v>
      </c>
      <c r="W102" s="1065">
        <f ca="1">(G137*(B126+O126))/((B114+O114)*(J126+W126))</f>
        <v>15.079719057387269</v>
      </c>
      <c r="X102" s="258"/>
    </row>
    <row r="103" spans="1:24" ht="12.75">
      <c r="A103" s="216" t="s">
        <v>134</v>
      </c>
      <c r="C103" s="600"/>
      <c r="D103" s="600"/>
      <c r="E103" s="602"/>
      <c r="F103" s="17"/>
      <c r="G103" s="17"/>
      <c r="H103" s="17"/>
      <c r="I103" s="600"/>
      <c r="J103" s="604"/>
      <c r="K103" s="538"/>
      <c r="L103" s="581"/>
      <c r="N103" s="252"/>
      <c r="O103" s="258"/>
      <c r="P103" s="1065"/>
      <c r="Q103" s="1065"/>
      <c r="R103" s="1065"/>
      <c r="S103" s="1065"/>
      <c r="T103" s="1065"/>
      <c r="U103" s="1065"/>
      <c r="V103" s="1065"/>
      <c r="W103" s="1065"/>
      <c r="X103" s="258"/>
    </row>
    <row r="104" spans="1:24" ht="12.75">
      <c r="A104" s="213" t="s">
        <v>131</v>
      </c>
      <c r="C104" s="600"/>
      <c r="D104" s="600"/>
      <c r="E104" s="602"/>
      <c r="F104" s="17"/>
      <c r="G104" s="17"/>
      <c r="H104" s="17"/>
      <c r="I104" s="600"/>
      <c r="J104" s="604"/>
      <c r="K104" s="538"/>
      <c r="L104" s="581"/>
      <c r="N104" s="252"/>
      <c r="O104" s="258"/>
      <c r="P104" s="1065"/>
      <c r="Q104" s="1065"/>
      <c r="R104" s="1065"/>
      <c r="S104" s="1065"/>
      <c r="T104" s="1065"/>
      <c r="U104" s="1065"/>
      <c r="V104" s="1065"/>
      <c r="W104" s="1065"/>
      <c r="X104" s="258"/>
    </row>
    <row r="105" spans="1:24" ht="12.75">
      <c r="A105" s="209" t="s">
        <v>132</v>
      </c>
      <c r="B105" s="580" t="s">
        <v>279</v>
      </c>
      <c r="C105" s="600">
        <f ca="1">(1-I117)*(G140*B129)/(B117*C129)</f>
        <v>30.00176075086085</v>
      </c>
      <c r="D105" s="600"/>
      <c r="E105" s="602"/>
      <c r="F105" s="17"/>
      <c r="G105" s="17"/>
      <c r="H105" s="17"/>
      <c r="I105" s="600">
        <f ca="1">I117*(G140*B129)/(B117*I129)</f>
        <v>1.233804840873507</v>
      </c>
      <c r="J105" s="604"/>
      <c r="K105" s="538"/>
      <c r="L105" s="581"/>
      <c r="N105" s="252"/>
      <c r="O105" s="258" t="s">
        <v>279</v>
      </c>
      <c r="P105" s="1065">
        <f ca="1">(1-(I117+V117))*(G140*(B129+O129))/((B117+O117)*(C129+P129))</f>
        <v>30.00176075086085</v>
      </c>
      <c r="Q105" s="1065"/>
      <c r="R105" s="1065"/>
      <c r="S105" s="1065"/>
      <c r="T105" s="1065"/>
      <c r="U105" s="1065"/>
      <c r="V105" s="1065">
        <f ca="1">(I117+V117)*(G140*(B129+O129))/((B117+O117)*(I129+V129))</f>
        <v>1.233804840873507</v>
      </c>
      <c r="W105" s="1065"/>
      <c r="X105" s="258"/>
    </row>
    <row r="106" spans="1:24" ht="12.75">
      <c r="A106" s="48" t="s">
        <v>39</v>
      </c>
      <c r="C106" s="601"/>
      <c r="D106" s="601"/>
      <c r="E106" s="603"/>
      <c r="F106" s="599"/>
      <c r="G106" s="599"/>
      <c r="H106" s="599"/>
      <c r="I106" s="601"/>
      <c r="J106" s="605"/>
      <c r="K106" s="538"/>
      <c r="L106" s="581"/>
      <c r="N106" s="252"/>
      <c r="O106" s="258"/>
      <c r="P106" s="1065"/>
      <c r="Q106" s="1065"/>
      <c r="R106" s="1065"/>
      <c r="S106" s="1065"/>
      <c r="T106" s="1065"/>
      <c r="U106" s="1065"/>
      <c r="V106" s="1065"/>
      <c r="W106" s="1065"/>
      <c r="X106" s="258"/>
    </row>
    <row r="107" spans="1:24" ht="12.75">
      <c r="A107" s="209" t="s">
        <v>127</v>
      </c>
      <c r="B107" s="580" t="s">
        <v>278</v>
      </c>
      <c r="C107" s="600">
        <f ca="1">(1-I119)*(G142*B119)/((C131))</f>
        <v>24.189239980201936</v>
      </c>
      <c r="D107" s="600"/>
      <c r="E107" s="602"/>
      <c r="F107" s="17"/>
      <c r="G107" s="17"/>
      <c r="H107" s="17"/>
      <c r="I107" s="600"/>
      <c r="J107" s="604">
        <f ca="1">(G142*B119)/(J131)</f>
        <v>8.639014278643549</v>
      </c>
      <c r="K107" s="538"/>
      <c r="L107" s="581"/>
      <c r="N107" s="252"/>
      <c r="O107" s="258" t="s">
        <v>278</v>
      </c>
      <c r="P107" s="1065">
        <f ca="1">(1-(I119+V119))*(G142*(B119+O119))/(C131+P131)</f>
        <v>24.189239980201936</v>
      </c>
      <c r="Q107" s="1065"/>
      <c r="R107" s="1065"/>
      <c r="S107" s="1065"/>
      <c r="T107" s="1065"/>
      <c r="U107" s="1065"/>
      <c r="V107" s="1065"/>
      <c r="W107" s="1065">
        <f ca="1">(G142*(B119+O119))/(J131+W131)</f>
        <v>8.639014278643549</v>
      </c>
      <c r="X107" s="258"/>
    </row>
    <row r="108" spans="1:24" ht="12.75">
      <c r="A108" s="209" t="s">
        <v>132</v>
      </c>
      <c r="B108" s="580" t="s">
        <v>279</v>
      </c>
      <c r="C108" s="600">
        <f ca="1">(1-I120)*(G143*(B120-1))/((C132))</f>
        <v>9.508672259385895</v>
      </c>
      <c r="D108" s="600"/>
      <c r="E108" s="602"/>
      <c r="F108" s="17"/>
      <c r="G108" s="17"/>
      <c r="H108" s="17"/>
      <c r="I108" s="600"/>
      <c r="J108" s="604">
        <f ca="1">(G143*(B120-1))/(J132)</f>
        <v>4.075145254022527</v>
      </c>
      <c r="K108" s="538"/>
      <c r="L108" s="581"/>
      <c r="N108" s="252"/>
      <c r="O108" s="258" t="s">
        <v>279</v>
      </c>
      <c r="P108" s="1065">
        <f ca="1">(1-(I120+V120))*(G143*(B120+O120-1))/(C132+P132)</f>
        <v>9.508672259385895</v>
      </c>
      <c r="Q108" s="1065"/>
      <c r="R108" s="1065"/>
      <c r="S108" s="1065"/>
      <c r="T108" s="1065"/>
      <c r="U108" s="1065"/>
      <c r="V108" s="1065"/>
      <c r="W108" s="1065">
        <f ca="1">(G143*(B120+O120-1))/(J132+W132)</f>
        <v>4.075145254022527</v>
      </c>
      <c r="X108" s="258"/>
    </row>
    <row r="109" spans="3:24" ht="12.75">
      <c r="C109" s="538"/>
      <c r="D109" s="538"/>
      <c r="E109" s="538"/>
      <c r="F109" s="538"/>
      <c r="G109" s="538"/>
      <c r="H109" s="538"/>
      <c r="I109" s="538"/>
      <c r="J109" s="538"/>
      <c r="K109" s="538"/>
      <c r="L109" s="581"/>
      <c r="N109" s="252"/>
      <c r="O109" s="258"/>
      <c r="P109" s="1065"/>
      <c r="Q109" s="1065"/>
      <c r="R109" s="1065"/>
      <c r="S109" s="1065"/>
      <c r="T109" s="1065"/>
      <c r="U109" s="1065"/>
      <c r="V109" s="1065"/>
      <c r="W109" s="1065"/>
      <c r="X109" s="258"/>
    </row>
    <row r="110" spans="2:24" ht="12.75" customHeight="1">
      <c r="B110" s="1401" t="s">
        <v>287</v>
      </c>
      <c r="C110" s="538"/>
      <c r="D110" s="538"/>
      <c r="E110" s="538"/>
      <c r="F110" s="538"/>
      <c r="G110" s="538"/>
      <c r="H110" s="538"/>
      <c r="I110" s="538"/>
      <c r="J110" s="538"/>
      <c r="K110" s="538"/>
      <c r="L110" s="581"/>
      <c r="N110" s="252"/>
      <c r="O110" s="1379" t="s">
        <v>366</v>
      </c>
      <c r="P110" s="1065"/>
      <c r="Q110" s="1065"/>
      <c r="R110" s="1065"/>
      <c r="S110" s="1065"/>
      <c r="T110" s="1065"/>
      <c r="U110" s="1065"/>
      <c r="V110" s="1065"/>
      <c r="W110" s="1065"/>
      <c r="X110" s="258"/>
    </row>
    <row r="111" spans="1:24" ht="12.75">
      <c r="A111" s="48" t="s">
        <v>38</v>
      </c>
      <c r="B111" s="1401"/>
      <c r="C111" s="1402" t="s">
        <v>262</v>
      </c>
      <c r="D111" s="1403"/>
      <c r="E111" s="1403"/>
      <c r="F111" s="1403"/>
      <c r="G111" s="1403"/>
      <c r="H111" s="1403"/>
      <c r="I111" s="1403"/>
      <c r="J111" s="1404"/>
      <c r="K111" s="583"/>
      <c r="N111" s="252"/>
      <c r="O111" s="1380"/>
      <c r="P111" s="1396" t="s">
        <v>369</v>
      </c>
      <c r="Q111" s="1377"/>
      <c r="R111" s="1377"/>
      <c r="S111" s="1377"/>
      <c r="T111" s="1377"/>
      <c r="U111" s="1377"/>
      <c r="V111" s="1377"/>
      <c r="W111" s="1378"/>
      <c r="X111" s="258"/>
    </row>
    <row r="112" spans="1:24" ht="12.75">
      <c r="A112" s="209" t="s">
        <v>127</v>
      </c>
      <c r="B112" s="588" t="s">
        <v>276</v>
      </c>
      <c r="C112" s="584" t="s">
        <v>258</v>
      </c>
      <c r="D112" s="585" t="s">
        <v>260</v>
      </c>
      <c r="E112" s="598" t="s">
        <v>120</v>
      </c>
      <c r="H112" s="582"/>
      <c r="I112" s="584" t="s">
        <v>261</v>
      </c>
      <c r="J112" s="598" t="s">
        <v>257</v>
      </c>
      <c r="N112" s="252"/>
      <c r="O112" s="1381"/>
      <c r="P112" s="1065" t="s">
        <v>258</v>
      </c>
      <c r="Q112" s="1065" t="s">
        <v>260</v>
      </c>
      <c r="R112" s="1065" t="s">
        <v>120</v>
      </c>
      <c r="S112" s="1065"/>
      <c r="T112" s="1065"/>
      <c r="U112" s="1065"/>
      <c r="V112" s="1065" t="s">
        <v>261</v>
      </c>
      <c r="W112" s="1065" t="s">
        <v>257</v>
      </c>
      <c r="X112" s="258"/>
    </row>
    <row r="113" spans="1:24" ht="12.75">
      <c r="A113" s="213" t="s">
        <v>128</v>
      </c>
      <c r="B113" s="852">
        <f ca="1">IF(INDIRECT("TransportStatEUOECD!"&amp;"AP"&amp;$D$76)&gt;0,INDIRECT("TransportStatEUOECD!"&amp;"AP"&amp;$D$76),B213)</f>
        <v>16.38010846119766</v>
      </c>
      <c r="C113" s="587">
        <f ca="1">1-SUM(D113:J113)</f>
        <v>0.9121563901467182</v>
      </c>
      <c r="D113" s="587"/>
      <c r="E113" s="817">
        <f ca="1">IF(INDIRECT("TransportStatEUOECD!"&amp;"AG"&amp;$D$76)&gt;0,INDIRECT("TransportStatEUOECD!"&amp;"AG"&amp;$D$76),E213)</f>
        <v>0.045161181401292556</v>
      </c>
      <c r="H113" s="327"/>
      <c r="I113" s="587">
        <f>K$76/100</f>
        <v>0.0395</v>
      </c>
      <c r="J113" s="817">
        <f ca="1">IF(INDIRECT("TransportStatEUOECD!"&amp;"AD"&amp;$D$76)&gt;0,INDIRECT("TransportStatEUOECD!"&amp;"AD"&amp;$D$76),J213)</f>
        <v>0.003182428451989174</v>
      </c>
      <c r="N113" s="252"/>
      <c r="O113" s="1099"/>
      <c r="P113" s="1105">
        <f>1-SUM(Q113:W113)</f>
        <v>1</v>
      </c>
      <c r="Q113" s="1106"/>
      <c r="R113" s="1107"/>
      <c r="S113" s="1106"/>
      <c r="T113" s="1106"/>
      <c r="U113" s="1106"/>
      <c r="V113" s="1106">
        <f>W$121/100</f>
        <v>0</v>
      </c>
      <c r="W113" s="1108"/>
      <c r="X113" s="252"/>
    </row>
    <row r="114" spans="1:24" ht="12.75">
      <c r="A114" s="276" t="s">
        <v>259</v>
      </c>
      <c r="B114" s="816">
        <f ca="1">IF(INDIRECT("TransportStatEUOECD!"&amp;"Z"&amp;$D$76)&gt;0,INDIRECT("TransportStatEUOECD!"&amp;"Z"&amp;$D$76),B214)</f>
        <v>1.5347008160287905</v>
      </c>
      <c r="C114" s="817">
        <f ca="1">IF(INDIRECT("TransportStatEUOECD!"&amp;"Q"&amp;$D$76)*(1-I114)&gt;0,INDIRECT("TransportStatEUOECD!"&amp;"Q"&amp;$D$76)*(1-I114),C214)</f>
        <v>0.29051762849477003</v>
      </c>
      <c r="D114" s="832">
        <f ca="1">1-(C114+SUM(E114:J114))</f>
        <v>0.66988237150523</v>
      </c>
      <c r="E114" s="587"/>
      <c r="H114" s="327"/>
      <c r="I114" s="587">
        <f>K$76/100</f>
        <v>0.0395</v>
      </c>
      <c r="J114" s="587">
        <v>0.0001</v>
      </c>
      <c r="N114" s="252"/>
      <c r="O114" s="1100"/>
      <c r="P114" s="1109"/>
      <c r="Q114" s="1110">
        <f>1-(P114+SUM(R114:W114))</f>
        <v>1</v>
      </c>
      <c r="R114" s="1110"/>
      <c r="S114" s="1110"/>
      <c r="T114" s="1110"/>
      <c r="U114" s="1110"/>
      <c r="V114" s="1110">
        <f>W$121/100</f>
        <v>0</v>
      </c>
      <c r="W114" s="1111"/>
      <c r="X114" s="252"/>
    </row>
    <row r="115" spans="1:30" ht="12.75">
      <c r="A115" s="216" t="s">
        <v>134</v>
      </c>
      <c r="B115" s="1356">
        <v>1</v>
      </c>
      <c r="C115" s="587">
        <v>0</v>
      </c>
      <c r="D115" s="587"/>
      <c r="E115" s="587"/>
      <c r="H115" s="327"/>
      <c r="I115" s="587"/>
      <c r="J115" s="587"/>
      <c r="N115" s="252"/>
      <c r="O115" s="1097"/>
      <c r="P115" s="1112">
        <v>0</v>
      </c>
      <c r="Q115" s="1110"/>
      <c r="R115" s="1110"/>
      <c r="S115" s="1110"/>
      <c r="T115" s="1110"/>
      <c r="U115" s="1110"/>
      <c r="V115" s="1110"/>
      <c r="W115" s="1113"/>
      <c r="X115" s="252"/>
      <c r="AD115" s="242"/>
    </row>
    <row r="116" spans="1:24" ht="12.75">
      <c r="A116" s="213" t="s">
        <v>131</v>
      </c>
      <c r="B116" s="1356">
        <v>1</v>
      </c>
      <c r="C116" s="587"/>
      <c r="D116" s="587"/>
      <c r="E116" s="587"/>
      <c r="H116" s="327"/>
      <c r="I116" s="587"/>
      <c r="J116" s="587"/>
      <c r="N116" s="252"/>
      <c r="O116" s="1097"/>
      <c r="P116" s="1112"/>
      <c r="Q116" s="1110"/>
      <c r="R116" s="1110"/>
      <c r="S116" s="1110"/>
      <c r="T116" s="1110"/>
      <c r="U116" s="1110"/>
      <c r="V116" s="1110"/>
      <c r="W116" s="1113"/>
      <c r="X116" s="252"/>
    </row>
    <row r="117" spans="1:24" ht="12.75">
      <c r="A117" s="209" t="s">
        <v>132</v>
      </c>
      <c r="B117" s="816">
        <f ca="1">IF(INDIRECT("TransportStatEUOECD!"&amp;"BF"&amp;$D$76)&gt;0,INDIRECT("TransportStatEUOECD!"&amp;"BF"&amp;$D$76),B217)</f>
        <v>6.238310053482961</v>
      </c>
      <c r="C117" s="587">
        <f>1-SUM(D117:J117)</f>
        <v>0.9605</v>
      </c>
      <c r="D117" s="587">
        <f>'[1]TransportStatEUOECD'!AU37</f>
        <v>0</v>
      </c>
      <c r="E117" s="587"/>
      <c r="H117" s="327"/>
      <c r="I117" s="587">
        <f>K$76/100</f>
        <v>0.0395</v>
      </c>
      <c r="J117" s="587"/>
      <c r="N117" s="252"/>
      <c r="O117" s="1100"/>
      <c r="P117" s="1112">
        <f>1-SUM(Q117:W117)</f>
        <v>1</v>
      </c>
      <c r="Q117" s="1114">
        <f>TransportStatEUOECD!BH37</f>
        <v>0</v>
      </c>
      <c r="R117" s="1114"/>
      <c r="S117" s="1110"/>
      <c r="T117" s="1110"/>
      <c r="U117" s="1110"/>
      <c r="V117" s="1110">
        <f>W$121/100</f>
        <v>0</v>
      </c>
      <c r="W117" s="1113"/>
      <c r="X117" s="252"/>
    </row>
    <row r="118" spans="1:24" ht="12.75">
      <c r="A118" s="48" t="s">
        <v>39</v>
      </c>
      <c r="B118" s="615" t="s">
        <v>286</v>
      </c>
      <c r="C118" s="587"/>
      <c r="D118" s="587"/>
      <c r="E118" s="587"/>
      <c r="H118" s="327"/>
      <c r="I118" s="587"/>
      <c r="J118" s="587"/>
      <c r="N118" s="252"/>
      <c r="O118" s="1097"/>
      <c r="P118" s="1112"/>
      <c r="Q118" s="1110"/>
      <c r="R118" s="1110"/>
      <c r="S118" s="1110"/>
      <c r="T118" s="1110"/>
      <c r="U118" s="1110"/>
      <c r="V118" s="1110"/>
      <c r="W118" s="1113"/>
      <c r="X118" s="252"/>
    </row>
    <row r="119" spans="1:24" ht="12.75">
      <c r="A119" s="209" t="s">
        <v>127</v>
      </c>
      <c r="B119" s="816">
        <f ca="1">IF(INDIRECT("TransportStatEUOECD!"&amp;"BX"&amp;$D$76)&gt;0,INDIRECT("TransportStatEUOECD!"&amp;"BX"&amp;$D$76),B219)</f>
        <v>1.8325181803183286</v>
      </c>
      <c r="C119" s="587">
        <f ca="1">1-SUM(D119:J119)</f>
        <v>0.14178925080314253</v>
      </c>
      <c r="D119" s="587"/>
      <c r="E119" s="587"/>
      <c r="H119" s="327"/>
      <c r="I119" s="587">
        <v>0</v>
      </c>
      <c r="J119" s="817">
        <f ca="1">IF(INDIRECT("TransportStatEUOECD!"&amp;"BS"&amp;$D$76)&gt;0,INDIRECT("TransportStatEUOECD!"&amp;"BS"&amp;$D$76)/INDIRECT("TransportStatEUOECD!"&amp;"BP"&amp;$D$76),J219)</f>
        <v>0.8582107491968575</v>
      </c>
      <c r="N119" s="252"/>
      <c r="O119" s="1100"/>
      <c r="P119" s="1112">
        <f>1-SUM(Q119:W119)</f>
        <v>1</v>
      </c>
      <c r="Q119" s="1110"/>
      <c r="R119" s="1110"/>
      <c r="S119" s="1110"/>
      <c r="T119" s="1110"/>
      <c r="U119" s="1110"/>
      <c r="V119" s="1114">
        <v>0</v>
      </c>
      <c r="W119" s="1111"/>
      <c r="X119" s="252"/>
    </row>
    <row r="120" spans="1:24" ht="12.75">
      <c r="A120" s="209" t="s">
        <v>132</v>
      </c>
      <c r="B120" s="816">
        <f ca="1">IF(INDIRECT("TransportStatEUOECD!"&amp;"CG"&amp;$D$76)&gt;0,INDIRECT("TransportStatEUOECD!"&amp;"CG"&amp;$D$76),B220)</f>
        <v>2.0971544914676032</v>
      </c>
      <c r="C120" s="587">
        <f ca="1">1-SUM(D120:J120)</f>
        <v>0.17582211325151953</v>
      </c>
      <c r="D120" s="587"/>
      <c r="E120" s="587"/>
      <c r="H120" s="327"/>
      <c r="I120" s="587">
        <v>0</v>
      </c>
      <c r="J120" s="817">
        <f ca="1">IF(INDIRECT("TransportStatEUOECD!"&amp;"CB"&amp;$D$76)&gt;0,INDIRECT("TransportStatEUOECD!"&amp;"CB"&amp;$D$76)/INDIRECT("TransportStatEUOECD!"&amp;"BY"&amp;$D$76),J220)</f>
        <v>0.8241778867484805</v>
      </c>
      <c r="N120" s="252"/>
      <c r="O120" s="1101"/>
      <c r="P120" s="1115">
        <f>1-SUM(Q120:W120)</f>
        <v>1</v>
      </c>
      <c r="Q120" s="1116"/>
      <c r="R120" s="1116"/>
      <c r="S120" s="1116"/>
      <c r="T120" s="1116"/>
      <c r="U120" s="1116"/>
      <c r="V120" s="1117">
        <v>0</v>
      </c>
      <c r="W120" s="1118"/>
      <c r="X120" s="252"/>
    </row>
    <row r="121" spans="3:24" ht="12.75">
      <c r="C121" s="538"/>
      <c r="D121" s="538"/>
      <c r="E121" s="538"/>
      <c r="F121" s="538"/>
      <c r="G121" s="538"/>
      <c r="H121" s="538"/>
      <c r="I121" s="594"/>
      <c r="L121" s="581"/>
      <c r="N121" s="252"/>
      <c r="O121" s="1065"/>
      <c r="P121" s="1065"/>
      <c r="Q121" s="1065"/>
      <c r="R121" s="1065"/>
      <c r="S121" s="1065"/>
      <c r="T121" s="1065"/>
      <c r="U121" s="1065"/>
      <c r="V121" s="1065"/>
      <c r="W121" s="1119">
        <v>0</v>
      </c>
      <c r="X121" s="252" t="s">
        <v>94</v>
      </c>
    </row>
    <row r="122" spans="2:24" ht="12.75" customHeight="1">
      <c r="B122" s="1405" t="s">
        <v>280</v>
      </c>
      <c r="C122" s="538"/>
      <c r="D122" s="538"/>
      <c r="E122" s="538"/>
      <c r="F122" s="538"/>
      <c r="G122" s="538"/>
      <c r="H122" s="538"/>
      <c r="I122" s="538"/>
      <c r="L122" s="581"/>
      <c r="N122" s="252"/>
      <c r="O122" s="1379" t="s">
        <v>367</v>
      </c>
      <c r="P122" s="1065"/>
      <c r="Q122" s="1065"/>
      <c r="R122" s="1065"/>
      <c r="S122" s="1065"/>
      <c r="T122" s="1065"/>
      <c r="U122" s="1065"/>
      <c r="V122" s="1065"/>
      <c r="W122" s="1096"/>
      <c r="X122" s="252"/>
    </row>
    <row r="123" spans="1:24" ht="12.75">
      <c r="A123" s="54" t="s">
        <v>38</v>
      </c>
      <c r="B123" s="1406"/>
      <c r="C123" s="1402" t="s">
        <v>269</v>
      </c>
      <c r="D123" s="1403"/>
      <c r="E123" s="1403"/>
      <c r="F123" s="1403"/>
      <c r="G123" s="1403"/>
      <c r="H123" s="1403"/>
      <c r="I123" s="1403"/>
      <c r="J123" s="1404"/>
      <c r="L123" s="597"/>
      <c r="N123" s="252"/>
      <c r="O123" s="1380"/>
      <c r="P123" s="1376" t="s">
        <v>370</v>
      </c>
      <c r="Q123" s="1377"/>
      <c r="R123" s="1377"/>
      <c r="S123" s="1377"/>
      <c r="T123" s="1377"/>
      <c r="U123" s="1377"/>
      <c r="V123" s="1377"/>
      <c r="W123" s="1378"/>
      <c r="X123" s="252"/>
    </row>
    <row r="124" spans="1:24" ht="12.75">
      <c r="A124" s="209" t="s">
        <v>127</v>
      </c>
      <c r="B124" s="606" t="s">
        <v>276</v>
      </c>
      <c r="C124" s="584" t="s">
        <v>258</v>
      </c>
      <c r="D124" s="585" t="s">
        <v>260</v>
      </c>
      <c r="E124" s="598" t="s">
        <v>120</v>
      </c>
      <c r="F124" s="582"/>
      <c r="G124" s="582"/>
      <c r="I124" s="584" t="s">
        <v>261</v>
      </c>
      <c r="J124" s="598" t="s">
        <v>257</v>
      </c>
      <c r="N124" s="252"/>
      <c r="O124" s="1381"/>
      <c r="P124" s="1065" t="s">
        <v>258</v>
      </c>
      <c r="Q124" s="1065" t="s">
        <v>260</v>
      </c>
      <c r="R124" s="1065" t="s">
        <v>120</v>
      </c>
      <c r="S124" s="1065"/>
      <c r="T124" s="1065"/>
      <c r="U124" s="1065"/>
      <c r="V124" s="1065" t="s">
        <v>261</v>
      </c>
      <c r="W124" s="1096" t="s">
        <v>257</v>
      </c>
      <c r="X124" s="252"/>
    </row>
    <row r="125" spans="1:24" ht="12.75">
      <c r="A125" s="213" t="s">
        <v>128</v>
      </c>
      <c r="B125" s="818">
        <f>TransportStatEUOECD!AJ48</f>
        <v>15</v>
      </c>
      <c r="C125" s="809">
        <v>0.35</v>
      </c>
      <c r="D125" s="809"/>
      <c r="E125" s="809">
        <v>0.21</v>
      </c>
      <c r="F125" s="327"/>
      <c r="G125" s="327"/>
      <c r="I125" s="809">
        <v>0.35</v>
      </c>
      <c r="J125" s="809">
        <v>0.7</v>
      </c>
      <c r="N125" s="252"/>
      <c r="O125" s="1099"/>
      <c r="P125" s="1127"/>
      <c r="Q125" s="1128"/>
      <c r="R125" s="1128"/>
      <c r="S125" s="1106"/>
      <c r="T125" s="1106"/>
      <c r="U125" s="1106"/>
      <c r="V125" s="1128"/>
      <c r="W125" s="1131"/>
      <c r="X125" s="252"/>
    </row>
    <row r="126" spans="1:24" ht="12.75">
      <c r="A126" s="276" t="s">
        <v>259</v>
      </c>
      <c r="B126" s="818">
        <f>TransportStatEUOECD!T48</f>
        <v>1.35</v>
      </c>
      <c r="C126" s="809">
        <v>0.3</v>
      </c>
      <c r="D126" s="809">
        <v>0.22</v>
      </c>
      <c r="E126" s="809"/>
      <c r="F126" s="327"/>
      <c r="G126" s="327"/>
      <c r="I126" s="809">
        <v>0.25</v>
      </c>
      <c r="J126" s="809">
        <v>0.7</v>
      </c>
      <c r="N126" s="252"/>
      <c r="O126" s="1100"/>
      <c r="P126" s="1129"/>
      <c r="Q126" s="1130"/>
      <c r="R126" s="1130"/>
      <c r="S126" s="1110"/>
      <c r="T126" s="1110"/>
      <c r="U126" s="1110"/>
      <c r="V126" s="1130"/>
      <c r="W126" s="1132"/>
      <c r="X126" s="252"/>
    </row>
    <row r="127" spans="1:24" ht="12.75">
      <c r="A127" s="216" t="s">
        <v>134</v>
      </c>
      <c r="B127" s="819"/>
      <c r="C127" s="809">
        <v>0</v>
      </c>
      <c r="D127" s="809"/>
      <c r="E127" s="809"/>
      <c r="F127" s="327"/>
      <c r="G127" s="327"/>
      <c r="I127" s="809"/>
      <c r="J127" s="809"/>
      <c r="N127" s="252"/>
      <c r="O127" s="1097"/>
      <c r="P127" s="1112"/>
      <c r="Q127" s="1110"/>
      <c r="R127" s="1110"/>
      <c r="S127" s="1110"/>
      <c r="T127" s="1110"/>
      <c r="U127" s="1110"/>
      <c r="V127" s="1110"/>
      <c r="W127" s="1113"/>
      <c r="X127" s="252"/>
    </row>
    <row r="128" spans="1:24" ht="12.75">
      <c r="A128" s="213" t="s">
        <v>131</v>
      </c>
      <c r="B128" s="819"/>
      <c r="C128" s="809"/>
      <c r="D128" s="809"/>
      <c r="E128" s="809"/>
      <c r="F128" s="327"/>
      <c r="G128" s="327"/>
      <c r="I128" s="809"/>
      <c r="J128" s="809"/>
      <c r="N128" s="252"/>
      <c r="O128" s="1097"/>
      <c r="P128" s="1112"/>
      <c r="Q128" s="1110"/>
      <c r="R128" s="1110"/>
      <c r="S128" s="1110"/>
      <c r="T128" s="1110"/>
      <c r="U128" s="1110"/>
      <c r="V128" s="1110"/>
      <c r="W128" s="1113"/>
      <c r="X128" s="252"/>
    </row>
    <row r="129" spans="1:24" ht="12.75">
      <c r="A129" s="209" t="s">
        <v>132</v>
      </c>
      <c r="B129" s="818">
        <f>TransportStatEUOECD!AW48</f>
        <v>11</v>
      </c>
      <c r="C129" s="809">
        <v>0.35</v>
      </c>
      <c r="D129" s="809">
        <f>TransportStatEUOECD!AU49</f>
        <v>0</v>
      </c>
      <c r="E129" s="809"/>
      <c r="F129" s="327"/>
      <c r="G129" s="327"/>
      <c r="I129" s="809">
        <v>0.35</v>
      </c>
      <c r="J129" s="809"/>
      <c r="N129" s="252"/>
      <c r="O129" s="1100"/>
      <c r="P129" s="1129"/>
      <c r="Q129" s="1130"/>
      <c r="R129" s="1130"/>
      <c r="S129" s="1110"/>
      <c r="T129" s="1110"/>
      <c r="U129" s="1110"/>
      <c r="V129" s="1130"/>
      <c r="W129" s="1132"/>
      <c r="X129" s="252"/>
    </row>
    <row r="130" spans="1:24" ht="12.75">
      <c r="A130" s="48" t="s">
        <v>39</v>
      </c>
      <c r="B130" s="819"/>
      <c r="C130" s="809"/>
      <c r="D130" s="809"/>
      <c r="E130" s="809"/>
      <c r="F130" s="327"/>
      <c r="G130" s="327"/>
      <c r="I130" s="809"/>
      <c r="J130" s="809"/>
      <c r="N130" s="252"/>
      <c r="O130" s="1097"/>
      <c r="P130" s="1112"/>
      <c r="Q130" s="1110"/>
      <c r="R130" s="1110"/>
      <c r="S130" s="1110"/>
      <c r="T130" s="1110"/>
      <c r="U130" s="1110"/>
      <c r="V130" s="1110"/>
      <c r="W130" s="1113"/>
      <c r="X130" s="252"/>
    </row>
    <row r="131" spans="1:24" ht="12.75">
      <c r="A131" s="209" t="s">
        <v>127</v>
      </c>
      <c r="B131" s="819"/>
      <c r="C131" s="809">
        <v>0.25</v>
      </c>
      <c r="D131" s="809"/>
      <c r="E131" s="809"/>
      <c r="F131" s="327"/>
      <c r="G131" s="327"/>
      <c r="I131" s="809"/>
      <c r="J131" s="809">
        <v>0.7</v>
      </c>
      <c r="N131" s="252"/>
      <c r="O131" s="1097"/>
      <c r="P131" s="1129"/>
      <c r="Q131" s="1130"/>
      <c r="R131" s="1130"/>
      <c r="S131" s="1110"/>
      <c r="T131" s="1110"/>
      <c r="U131" s="1110"/>
      <c r="V131" s="1130"/>
      <c r="W131" s="1132"/>
      <c r="X131" s="252"/>
    </row>
    <row r="132" spans="1:24" ht="12.75">
      <c r="A132" s="209" t="s">
        <v>132</v>
      </c>
      <c r="B132" s="819"/>
      <c r="C132" s="809">
        <v>0.3</v>
      </c>
      <c r="D132" s="809"/>
      <c r="E132" s="809"/>
      <c r="F132" s="327"/>
      <c r="G132" s="327"/>
      <c r="I132" s="809"/>
      <c r="J132" s="809">
        <v>0.7</v>
      </c>
      <c r="N132" s="252"/>
      <c r="O132" s="1097"/>
      <c r="P132" s="1129"/>
      <c r="Q132" s="1130"/>
      <c r="R132" s="1130"/>
      <c r="S132" s="1110"/>
      <c r="T132" s="1110"/>
      <c r="U132" s="1110"/>
      <c r="V132" s="1130"/>
      <c r="W132" s="1132"/>
      <c r="X132" s="252"/>
    </row>
    <row r="133" spans="3:26" ht="12.75">
      <c r="C133" s="538"/>
      <c r="D133" s="538"/>
      <c r="E133" s="538"/>
      <c r="F133" s="538"/>
      <c r="G133" s="538"/>
      <c r="H133" s="538"/>
      <c r="I133" s="538"/>
      <c r="J133" s="538"/>
      <c r="K133" s="538"/>
      <c r="L133" s="1360"/>
      <c r="M133" s="65"/>
      <c r="N133" s="65"/>
      <c r="O133" s="65"/>
      <c r="P133" s="1360"/>
      <c r="Q133" s="1360"/>
      <c r="R133" s="1360"/>
      <c r="S133" s="1360"/>
      <c r="T133" s="1360"/>
      <c r="U133" s="1360"/>
      <c r="V133" s="1360"/>
      <c r="W133" s="1360"/>
      <c r="X133" s="65"/>
      <c r="Y133" s="65"/>
      <c r="Z133" s="65"/>
    </row>
    <row r="134" spans="1:26" ht="13.5" customHeight="1">
      <c r="A134" s="54" t="s">
        <v>38</v>
      </c>
      <c r="C134" s="538"/>
      <c r="D134" s="538"/>
      <c r="E134" s="538"/>
      <c r="F134" s="1407" t="s">
        <v>337</v>
      </c>
      <c r="G134" s="1407"/>
      <c r="H134" s="1407"/>
      <c r="I134" s="538"/>
      <c r="J134" s="538"/>
      <c r="K134" s="538"/>
      <c r="L134" s="1360"/>
      <c r="M134" s="65"/>
      <c r="N134" s="65"/>
      <c r="O134" s="65"/>
      <c r="P134" s="65"/>
      <c r="Q134" s="65"/>
      <c r="R134" s="65"/>
      <c r="S134" s="65"/>
      <c r="T134" s="65"/>
      <c r="U134" s="65"/>
      <c r="V134" s="65"/>
      <c r="W134" s="65"/>
      <c r="X134" s="65"/>
      <c r="Y134" s="65"/>
      <c r="Z134" s="65"/>
    </row>
    <row r="135" spans="1:26" ht="12.75">
      <c r="A135" s="209" t="s">
        <v>127</v>
      </c>
      <c r="C135" s="538"/>
      <c r="D135" s="538"/>
      <c r="E135" s="538"/>
      <c r="F135" s="1407"/>
      <c r="G135" s="1407"/>
      <c r="H135" s="1407"/>
      <c r="I135" s="538"/>
      <c r="J135" s="538"/>
      <c r="K135" s="538"/>
      <c r="L135" s="1360"/>
      <c r="M135" s="65"/>
      <c r="N135" s="65"/>
      <c r="O135" s="65"/>
      <c r="P135" s="65"/>
      <c r="Q135" s="65"/>
      <c r="R135" s="65"/>
      <c r="S135" s="65"/>
      <c r="T135" s="65"/>
      <c r="U135" s="65"/>
      <c r="V135" s="65"/>
      <c r="W135" s="65"/>
      <c r="X135" s="65"/>
      <c r="Y135" s="65"/>
      <c r="Z135" s="65"/>
    </row>
    <row r="136" spans="1:26" ht="12.75">
      <c r="A136" s="213" t="s">
        <v>128</v>
      </c>
      <c r="C136" s="538"/>
      <c r="D136" s="538"/>
      <c r="E136" s="538"/>
      <c r="G136" s="811">
        <v>7.9</v>
      </c>
      <c r="H136" s="538"/>
      <c r="I136" s="538"/>
      <c r="J136" s="538"/>
      <c r="K136" s="538"/>
      <c r="L136" s="1360"/>
      <c r="M136" s="65"/>
      <c r="N136" s="65"/>
      <c r="O136" s="65"/>
      <c r="P136" s="65"/>
      <c r="Q136" s="65"/>
      <c r="R136" s="65"/>
      <c r="S136" s="65"/>
      <c r="T136" s="65"/>
      <c r="U136" s="65"/>
      <c r="V136" s="65"/>
      <c r="W136" s="65"/>
      <c r="X136" s="65"/>
      <c r="Y136" s="65"/>
      <c r="Z136" s="65"/>
    </row>
    <row r="137" spans="1:26" ht="12.75">
      <c r="A137" s="276" t="s">
        <v>259</v>
      </c>
      <c r="C137" s="538"/>
      <c r="D137" s="538"/>
      <c r="E137" s="538"/>
      <c r="F137" s="538"/>
      <c r="G137" s="811">
        <v>12</v>
      </c>
      <c r="H137" s="538"/>
      <c r="I137" s="538"/>
      <c r="J137" s="538"/>
      <c r="K137" s="538"/>
      <c r="L137" s="1360"/>
      <c r="M137" s="65"/>
      <c r="N137" s="65"/>
      <c r="O137" s="65"/>
      <c r="P137" s="65"/>
      <c r="Q137" s="65"/>
      <c r="R137" s="65"/>
      <c r="S137" s="65"/>
      <c r="T137" s="65"/>
      <c r="U137" s="65"/>
      <c r="V137" s="65"/>
      <c r="W137" s="65"/>
      <c r="X137" s="65"/>
      <c r="Y137" s="65"/>
      <c r="Z137" s="65"/>
    </row>
    <row r="138" spans="1:26" ht="12.75">
      <c r="A138" s="216" t="s">
        <v>134</v>
      </c>
      <c r="C138" s="538"/>
      <c r="D138" s="538"/>
      <c r="E138" s="538"/>
      <c r="F138" s="538"/>
      <c r="G138" s="820"/>
      <c r="H138" s="538"/>
      <c r="I138" s="538"/>
      <c r="J138" s="538"/>
      <c r="K138" s="538"/>
      <c r="L138" s="1360"/>
      <c r="M138" s="65"/>
      <c r="N138" s="65"/>
      <c r="O138" s="65"/>
      <c r="P138" s="65"/>
      <c r="Q138" s="65"/>
      <c r="R138" s="65"/>
      <c r="S138" s="65"/>
      <c r="T138" s="65"/>
      <c r="U138" s="65"/>
      <c r="V138" s="65"/>
      <c r="W138" s="65"/>
      <c r="X138" s="65"/>
      <c r="Y138" s="65"/>
      <c r="Z138" s="65"/>
    </row>
    <row r="139" spans="1:26" ht="12.75">
      <c r="A139" s="213" t="s">
        <v>131</v>
      </c>
      <c r="C139" s="538"/>
      <c r="D139" s="538"/>
      <c r="E139" s="538"/>
      <c r="F139" s="538"/>
      <c r="G139" s="820"/>
      <c r="H139" s="538"/>
      <c r="I139" s="538"/>
      <c r="J139" s="538"/>
      <c r="K139" s="538"/>
      <c r="L139" s="1360"/>
      <c r="M139" s="65"/>
      <c r="N139" s="65"/>
      <c r="O139" s="65"/>
      <c r="P139" s="65"/>
      <c r="Q139" s="65"/>
      <c r="R139" s="65"/>
      <c r="S139" s="65"/>
      <c r="T139" s="65"/>
      <c r="U139" s="65"/>
      <c r="V139" s="65"/>
      <c r="W139" s="65"/>
      <c r="X139" s="65"/>
      <c r="Y139" s="65"/>
      <c r="Z139" s="65"/>
    </row>
    <row r="140" spans="1:26" ht="12.75">
      <c r="A140" s="209" t="s">
        <v>132</v>
      </c>
      <c r="C140" s="538"/>
      <c r="D140" s="538"/>
      <c r="E140" s="538"/>
      <c r="F140" s="538"/>
      <c r="G140" s="811">
        <v>6.2</v>
      </c>
      <c r="H140" s="538"/>
      <c r="I140" s="538"/>
      <c r="J140" s="538"/>
      <c r="K140" s="538"/>
      <c r="L140" s="1360"/>
      <c r="M140" s="65"/>
      <c r="N140" s="65"/>
      <c r="O140" s="65"/>
      <c r="P140" s="65"/>
      <c r="Q140" s="65"/>
      <c r="R140" s="65"/>
      <c r="S140" s="65"/>
      <c r="T140" s="65"/>
      <c r="U140" s="65"/>
      <c r="V140" s="65"/>
      <c r="W140" s="65"/>
      <c r="X140" s="65"/>
      <c r="Y140" s="65"/>
      <c r="Z140" s="65"/>
    </row>
    <row r="141" spans="1:26" ht="12.75">
      <c r="A141" s="48" t="s">
        <v>39</v>
      </c>
      <c r="C141" s="538"/>
      <c r="D141" s="538"/>
      <c r="E141" s="538"/>
      <c r="F141" s="538"/>
      <c r="G141" s="820"/>
      <c r="H141" s="538"/>
      <c r="I141" s="538"/>
      <c r="J141" s="538"/>
      <c r="K141" s="538"/>
      <c r="L141" s="1360"/>
      <c r="M141" s="65"/>
      <c r="N141" s="65"/>
      <c r="O141" s="65"/>
      <c r="P141" s="65"/>
      <c r="Q141" s="65"/>
      <c r="R141" s="65"/>
      <c r="S141" s="65"/>
      <c r="T141" s="65"/>
      <c r="U141" s="65"/>
      <c r="V141" s="65"/>
      <c r="W141" s="65"/>
      <c r="X141" s="65"/>
      <c r="Y141" s="65"/>
      <c r="Z141" s="65"/>
    </row>
    <row r="142" spans="1:26" ht="12.75">
      <c r="A142" s="209" t="s">
        <v>127</v>
      </c>
      <c r="C142" s="538"/>
      <c r="D142" s="538"/>
      <c r="E142" s="538"/>
      <c r="F142" s="538"/>
      <c r="G142" s="810">
        <v>3.3</v>
      </c>
      <c r="H142" s="538"/>
      <c r="I142" s="538"/>
      <c r="J142" s="538"/>
      <c r="K142" s="538"/>
      <c r="L142" s="1360"/>
      <c r="M142" s="65"/>
      <c r="N142" s="65"/>
      <c r="O142" s="65"/>
      <c r="P142" s="65"/>
      <c r="Q142" s="65"/>
      <c r="R142" s="65"/>
      <c r="S142" s="65"/>
      <c r="T142" s="65"/>
      <c r="U142" s="65"/>
      <c r="V142" s="65"/>
      <c r="W142" s="65"/>
      <c r="X142" s="65"/>
      <c r="Y142" s="65"/>
      <c r="Z142" s="65"/>
    </row>
    <row r="143" spans="1:26" ht="12.75">
      <c r="A143" s="209" t="s">
        <v>132</v>
      </c>
      <c r="C143" s="538"/>
      <c r="D143" s="538"/>
      <c r="E143" s="538"/>
      <c r="F143" s="538"/>
      <c r="G143" s="810">
        <v>2.6</v>
      </c>
      <c r="H143" s="538"/>
      <c r="I143" s="538"/>
      <c r="J143" s="538"/>
      <c r="K143" s="538"/>
      <c r="L143" s="1360"/>
      <c r="M143" s="65"/>
      <c r="N143" s="65"/>
      <c r="O143" s="65"/>
      <c r="P143" s="65"/>
      <c r="Q143" s="65"/>
      <c r="R143" s="65"/>
      <c r="S143" s="65"/>
      <c r="T143" s="65"/>
      <c r="U143" s="65"/>
      <c r="V143" s="65"/>
      <c r="W143" s="65"/>
      <c r="X143" s="65"/>
      <c r="Y143" s="65"/>
      <c r="Z143" s="65"/>
    </row>
    <row r="144" spans="2:26" ht="12.75">
      <c r="B144" s="538"/>
      <c r="C144" s="594" t="s">
        <v>258</v>
      </c>
      <c r="D144" s="594" t="s">
        <v>260</v>
      </c>
      <c r="E144" s="594" t="s">
        <v>120</v>
      </c>
      <c r="F144" s="538"/>
      <c r="G144" s="538"/>
      <c r="H144" s="538"/>
      <c r="I144" s="594" t="s">
        <v>264</v>
      </c>
      <c r="L144" s="1360"/>
      <c r="M144" s="65"/>
      <c r="N144" s="65"/>
      <c r="O144" s="65"/>
      <c r="P144" s="65"/>
      <c r="Q144" s="65"/>
      <c r="R144" s="65"/>
      <c r="S144" s="65"/>
      <c r="T144" s="65"/>
      <c r="U144" s="65"/>
      <c r="V144" s="65"/>
      <c r="W144" s="65"/>
      <c r="X144" s="65"/>
      <c r="Y144" s="65"/>
      <c r="Z144" s="65"/>
    </row>
    <row r="145" spans="3:26" ht="12.75">
      <c r="C145" s="538">
        <v>0.832</v>
      </c>
      <c r="D145" s="538">
        <v>0.745</v>
      </c>
      <c r="E145" s="538"/>
      <c r="F145" s="538"/>
      <c r="G145" s="594" t="s">
        <v>265</v>
      </c>
      <c r="H145" s="538"/>
      <c r="I145" s="538">
        <v>0.789</v>
      </c>
      <c r="L145" s="1360"/>
      <c r="M145" s="65"/>
      <c r="N145" s="65"/>
      <c r="O145" s="65"/>
      <c r="P145" s="65"/>
      <c r="Q145" s="65"/>
      <c r="R145" s="65"/>
      <c r="S145" s="65"/>
      <c r="T145" s="65"/>
      <c r="U145" s="65"/>
      <c r="V145" s="65"/>
      <c r="W145" s="65"/>
      <c r="X145" s="65"/>
      <c r="Y145" s="65"/>
      <c r="Z145" s="65"/>
    </row>
    <row r="146" spans="3:26" ht="12.75">
      <c r="C146" s="538">
        <v>43.1</v>
      </c>
      <c r="D146" s="538">
        <v>43.2</v>
      </c>
      <c r="E146" s="538">
        <v>49</v>
      </c>
      <c r="F146" s="538"/>
      <c r="G146" s="594" t="s">
        <v>266</v>
      </c>
      <c r="H146" s="538"/>
      <c r="I146" s="538">
        <v>29</v>
      </c>
      <c r="L146" s="1360"/>
      <c r="M146" s="65"/>
      <c r="N146" s="65"/>
      <c r="O146" s="65"/>
      <c r="P146" s="65"/>
      <c r="Q146" s="65"/>
      <c r="R146" s="65"/>
      <c r="S146" s="65"/>
      <c r="T146" s="65"/>
      <c r="U146" s="65"/>
      <c r="V146" s="65"/>
      <c r="W146" s="65"/>
      <c r="X146" s="65"/>
      <c r="Y146" s="65"/>
      <c r="Z146" s="65"/>
    </row>
    <row r="147" spans="3:26" ht="12.75">
      <c r="C147" s="538">
        <v>73.25</v>
      </c>
      <c r="D147" s="538">
        <v>73.38</v>
      </c>
      <c r="E147" s="538">
        <v>55.56</v>
      </c>
      <c r="F147" s="538"/>
      <c r="G147" s="594" t="s">
        <v>267</v>
      </c>
      <c r="H147" s="538"/>
      <c r="I147" s="538">
        <v>65.86</v>
      </c>
      <c r="L147" s="1360"/>
      <c r="M147" s="65"/>
      <c r="N147" s="65"/>
      <c r="O147" s="65"/>
      <c r="P147" s="65"/>
      <c r="Q147" s="65"/>
      <c r="R147" s="65"/>
      <c r="S147" s="65"/>
      <c r="T147" s="65"/>
      <c r="U147" s="65"/>
      <c r="V147" s="65"/>
      <c r="W147" s="65"/>
      <c r="X147" s="65"/>
      <c r="Y147" s="65"/>
      <c r="Z147" s="65"/>
    </row>
    <row r="148" spans="3:26" ht="12.75">
      <c r="C148" s="538">
        <v>3.067</v>
      </c>
      <c r="D148" s="538">
        <v>3.072</v>
      </c>
      <c r="E148" s="538">
        <v>2.33</v>
      </c>
      <c r="F148" s="538"/>
      <c r="G148" s="594" t="s">
        <v>268</v>
      </c>
      <c r="H148" s="538"/>
      <c r="I148" s="538">
        <v>2.757</v>
      </c>
      <c r="L148" s="1360"/>
      <c r="M148" s="65"/>
      <c r="N148" s="65"/>
      <c r="O148" s="65"/>
      <c r="P148" s="65"/>
      <c r="Q148" s="65"/>
      <c r="R148" s="65"/>
      <c r="S148" s="65"/>
      <c r="T148" s="65"/>
      <c r="U148" s="65"/>
      <c r="V148" s="65"/>
      <c r="W148" s="65"/>
      <c r="X148" s="65"/>
      <c r="Y148" s="65"/>
      <c r="Z148" s="65"/>
    </row>
    <row r="149" spans="3:26" ht="12.75">
      <c r="C149" s="538"/>
      <c r="D149" s="538"/>
      <c r="E149" s="538"/>
      <c r="F149" s="538"/>
      <c r="G149" s="595"/>
      <c r="H149" s="538" t="s">
        <v>341</v>
      </c>
      <c r="I149" s="538" t="s">
        <v>340</v>
      </c>
      <c r="J149" s="538"/>
      <c r="K149" s="538"/>
      <c r="L149" s="1360"/>
      <c r="M149" s="65"/>
      <c r="N149" s="65"/>
      <c r="O149" s="65"/>
      <c r="P149" s="65"/>
      <c r="Q149" s="65"/>
      <c r="R149" s="65"/>
      <c r="S149" s="65"/>
      <c r="T149" s="65"/>
      <c r="U149" s="65"/>
      <c r="V149" s="65"/>
      <c r="W149" s="65"/>
      <c r="X149" s="65"/>
      <c r="Y149" s="65"/>
      <c r="Z149" s="65"/>
    </row>
    <row r="150" spans="3:26" ht="12.75">
      <c r="C150" s="538"/>
      <c r="D150" s="538"/>
      <c r="E150" s="607"/>
      <c r="F150" s="607"/>
      <c r="G150" s="608" t="s">
        <v>339</v>
      </c>
      <c r="H150" s="609">
        <f ca="1">(B126*INDIRECT("TransportStatEUOECD!"&amp;"T"&amp;$D$76)*(C114/(1-I114))*(G137*C148/C126)+B126*INDIRECT("TransportStatEUOECD!"&amp;"T"&amp;$D$76)*(D114/(1-I114))*(G137*D148/D126)+B125*INDIRECT("TransportStatEUOECD!"&amp;"AJ"&amp;$D$76)*(C113/(1-I113))*(G136*C148/C125)+B125*INDIRECT("TransportStatEUOECD!"&amp;"AJ"&amp;$D$76)*E113*(G136*E148/E125)+B129*INDIRECT("TransportStatEUOECD!"&amp;"AW"&amp;$D$76)*(C117/(1-I117))*(G140*C148/C129))/(B126*INDIRECT("TransportStatEUOECD!"&amp;"T"&amp;$D$76)+B125*INDIRECT("TransportStatEUOECD!"&amp;"AJ"&amp;$D$76)+B129*INDIRECT("TransportStatEUOECD!"&amp;"AW"&amp;$D$76))</f>
        <v>102.32117516849247</v>
      </c>
      <c r="I150" s="610">
        <f ca="1">(INDIRECT("TransportStatEUOECD!"&amp;"BT"&amp;$D$76)*(G142*C148/C131)+INDIRECT("TransportStatEUOECD!"&amp;"CC"&amp;$D$76)*(G143*C148/C132))/(INDIRECT("TransportStatEUOECD!"&amp;"BT"&amp;$D$76)+INDIRECT("TransportStatEUOECD!"&amp;"CC"&amp;$D$76))</f>
        <v>30.636174756916585</v>
      </c>
      <c r="J150" s="1400" t="s">
        <v>336</v>
      </c>
      <c r="K150" s="538"/>
      <c r="L150" s="1360"/>
      <c r="M150" s="65"/>
      <c r="N150" s="65"/>
      <c r="O150" s="65"/>
      <c r="P150" s="65"/>
      <c r="Q150" s="65"/>
      <c r="R150" s="65"/>
      <c r="S150" s="65"/>
      <c r="T150" s="65"/>
      <c r="U150" s="65"/>
      <c r="V150" s="65"/>
      <c r="W150" s="65"/>
      <c r="X150" s="65"/>
      <c r="Y150" s="65"/>
      <c r="Z150" s="65"/>
    </row>
    <row r="151" spans="3:26" ht="12.75">
      <c r="C151" s="538"/>
      <c r="D151" s="538"/>
      <c r="E151" s="607"/>
      <c r="F151" s="607"/>
      <c r="G151" s="608" t="s">
        <v>275</v>
      </c>
      <c r="H151" s="610">
        <f>TransportStatEUOECD!BM48</f>
        <v>99.62375850568777</v>
      </c>
      <c r="I151" s="610">
        <f>TransportStatEUOECD!DF37</f>
        <v>25.218726431297632</v>
      </c>
      <c r="J151" s="1400"/>
      <c r="K151" s="538"/>
      <c r="L151" s="1360"/>
      <c r="M151" s="65"/>
      <c r="N151" s="65"/>
      <c r="O151" s="65"/>
      <c r="P151" s="65"/>
      <c r="Q151" s="65"/>
      <c r="R151" s="65"/>
      <c r="S151" s="65"/>
      <c r="T151" s="65"/>
      <c r="U151" s="65"/>
      <c r="V151" s="65"/>
      <c r="W151" s="65"/>
      <c r="X151" s="65"/>
      <c r="Y151" s="65"/>
      <c r="Z151" s="65"/>
    </row>
    <row r="152" spans="1:26" ht="12.75">
      <c r="A152" s="1397" t="s">
        <v>360</v>
      </c>
      <c r="C152" s="538"/>
      <c r="D152" s="538"/>
      <c r="E152" s="538"/>
      <c r="F152" s="538"/>
      <c r="G152" s="538"/>
      <c r="H152" s="538"/>
      <c r="I152" s="538"/>
      <c r="J152" s="538"/>
      <c r="K152" s="538"/>
      <c r="L152" s="1360"/>
      <c r="M152" s="65"/>
      <c r="N152" s="65"/>
      <c r="O152" s="65"/>
      <c r="P152" s="65"/>
      <c r="Q152" s="65"/>
      <c r="R152" s="65"/>
      <c r="S152" s="65"/>
      <c r="T152" s="65"/>
      <c r="U152" s="65"/>
      <c r="V152" s="65"/>
      <c r="W152" s="65"/>
      <c r="X152" s="65"/>
      <c r="Y152" s="65"/>
      <c r="Z152" s="65"/>
    </row>
    <row r="153" spans="1:26" ht="12.75">
      <c r="A153" s="1397"/>
      <c r="C153" s="538"/>
      <c r="D153" s="538"/>
      <c r="E153" s="538"/>
      <c r="F153" s="538"/>
      <c r="G153" s="538"/>
      <c r="H153" s="538"/>
      <c r="I153" s="538"/>
      <c r="J153" s="538"/>
      <c r="K153" s="538"/>
      <c r="L153" s="1360"/>
      <c r="M153" s="65"/>
      <c r="N153" s="65"/>
      <c r="O153" s="65"/>
      <c r="P153" s="65"/>
      <c r="Q153" s="65"/>
      <c r="R153" s="65"/>
      <c r="S153" s="65"/>
      <c r="T153" s="65"/>
      <c r="U153" s="65"/>
      <c r="V153" s="65"/>
      <c r="W153" s="65"/>
      <c r="X153" s="65"/>
      <c r="Y153" s="65"/>
      <c r="Z153" s="65"/>
    </row>
    <row r="154" spans="1:26" ht="12.75">
      <c r="A154" s="595"/>
      <c r="L154" s="65"/>
      <c r="M154" s="65"/>
      <c r="N154" s="65"/>
      <c r="O154" s="65"/>
      <c r="P154" s="65"/>
      <c r="Q154" s="65"/>
      <c r="R154" s="65"/>
      <c r="S154" s="65"/>
      <c r="T154" s="65"/>
      <c r="U154" s="65"/>
      <c r="V154" s="65"/>
      <c r="W154" s="65"/>
      <c r="X154" s="65"/>
      <c r="Y154" s="65"/>
      <c r="Z154" s="65"/>
    </row>
    <row r="155" spans="1:26" ht="12.75">
      <c r="A155" s="1037" t="s">
        <v>326</v>
      </c>
      <c r="B155" s="1036">
        <v>5</v>
      </c>
      <c r="D155" s="1039" t="s">
        <v>180</v>
      </c>
      <c r="E155" s="1036">
        <f>B170+1</f>
        <v>21</v>
      </c>
      <c r="L155" s="65"/>
      <c r="M155" s="65"/>
      <c r="N155" s="65"/>
      <c r="O155" s="65"/>
      <c r="P155" s="65"/>
      <c r="Q155" s="65"/>
      <c r="R155" s="65"/>
      <c r="S155" s="65"/>
      <c r="T155" s="65"/>
      <c r="U155" s="65"/>
      <c r="V155" s="65"/>
      <c r="W155" s="65"/>
      <c r="X155" s="65"/>
      <c r="Y155" s="65"/>
      <c r="Z155" s="65"/>
    </row>
    <row r="156" spans="1:26" ht="12.75">
      <c r="A156" s="1038" t="s">
        <v>165</v>
      </c>
      <c r="B156" s="1036">
        <f>B155+1</f>
        <v>6</v>
      </c>
      <c r="D156" s="1039" t="s">
        <v>181</v>
      </c>
      <c r="E156" s="1036">
        <f>E155+1</f>
        <v>22</v>
      </c>
      <c r="L156" s="65"/>
      <c r="M156" s="65"/>
      <c r="N156" s="65"/>
      <c r="O156" s="65"/>
      <c r="P156" s="65"/>
      <c r="Q156" s="65"/>
      <c r="R156" s="65"/>
      <c r="S156" s="65"/>
      <c r="T156" s="65"/>
      <c r="U156" s="65"/>
      <c r="V156" s="65"/>
      <c r="W156" s="65"/>
      <c r="X156" s="65"/>
      <c r="Y156" s="65"/>
      <c r="Z156" s="65"/>
    </row>
    <row r="157" spans="1:26" ht="12.75">
      <c r="A157" s="1038" t="s">
        <v>166</v>
      </c>
      <c r="B157" s="1036">
        <f aca="true" t="shared" si="160" ref="B157:B170">B156+1</f>
        <v>7</v>
      </c>
      <c r="D157" s="1039" t="s">
        <v>182</v>
      </c>
      <c r="E157" s="1036">
        <f aca="true" t="shared" si="161" ref="E157:E171">E156+1</f>
        <v>23</v>
      </c>
      <c r="L157" s="65"/>
      <c r="M157" s="65"/>
      <c r="N157" s="65"/>
      <c r="O157" s="65"/>
      <c r="P157" s="65"/>
      <c r="Q157" s="65"/>
      <c r="R157" s="65"/>
      <c r="S157" s="65"/>
      <c r="T157" s="65"/>
      <c r="U157" s="65"/>
      <c r="V157" s="65"/>
      <c r="W157" s="65"/>
      <c r="X157" s="65"/>
      <c r="Y157" s="65"/>
      <c r="Z157" s="65"/>
    </row>
    <row r="158" spans="1:26" ht="12.75">
      <c r="A158" s="1038" t="s">
        <v>168</v>
      </c>
      <c r="B158" s="1036">
        <f t="shared" si="160"/>
        <v>8</v>
      </c>
      <c r="D158" s="1039" t="s">
        <v>183</v>
      </c>
      <c r="E158" s="1036">
        <f t="shared" si="161"/>
        <v>24</v>
      </c>
      <c r="L158" s="65"/>
      <c r="M158" s="65"/>
      <c r="N158" s="65"/>
      <c r="O158" s="65"/>
      <c r="P158" s="65"/>
      <c r="Q158" s="65"/>
      <c r="R158" s="65"/>
      <c r="S158" s="65"/>
      <c r="T158" s="65"/>
      <c r="U158" s="65"/>
      <c r="V158" s="65"/>
      <c r="W158" s="65"/>
      <c r="X158" s="65"/>
      <c r="Y158" s="65"/>
      <c r="Z158" s="65"/>
    </row>
    <row r="159" spans="1:26" ht="12.75">
      <c r="A159" s="1038" t="s">
        <v>169</v>
      </c>
      <c r="B159" s="1036">
        <f t="shared" si="160"/>
        <v>9</v>
      </c>
      <c r="D159" s="1039" t="s">
        <v>184</v>
      </c>
      <c r="E159" s="1036">
        <f t="shared" si="161"/>
        <v>25</v>
      </c>
      <c r="L159" s="65"/>
      <c r="M159" s="65"/>
      <c r="N159" s="65"/>
      <c r="O159" s="65"/>
      <c r="P159" s="65"/>
      <c r="Q159" s="65"/>
      <c r="R159" s="65"/>
      <c r="S159" s="65"/>
      <c r="T159" s="65"/>
      <c r="U159" s="65"/>
      <c r="V159" s="65"/>
      <c r="W159" s="65"/>
      <c r="X159" s="65"/>
      <c r="Y159" s="65"/>
      <c r="Z159" s="65"/>
    </row>
    <row r="160" spans="1:26" ht="12.75">
      <c r="A160" s="1037" t="s">
        <v>356</v>
      </c>
      <c r="B160" s="1036">
        <f t="shared" si="160"/>
        <v>10</v>
      </c>
      <c r="D160" s="1040" t="s">
        <v>328</v>
      </c>
      <c r="E160" s="1036">
        <f t="shared" si="161"/>
        <v>26</v>
      </c>
      <c r="L160" s="65"/>
      <c r="M160" s="65"/>
      <c r="N160" s="65"/>
      <c r="O160" s="65"/>
      <c r="P160" s="65"/>
      <c r="Q160" s="65"/>
      <c r="R160" s="65"/>
      <c r="S160" s="65"/>
      <c r="T160" s="65"/>
      <c r="U160" s="65"/>
      <c r="V160" s="65"/>
      <c r="W160" s="65"/>
      <c r="X160" s="65"/>
      <c r="Y160" s="65"/>
      <c r="Z160" s="65"/>
    </row>
    <row r="161" spans="1:26" ht="12.75">
      <c r="A161" s="1038" t="s">
        <v>170</v>
      </c>
      <c r="B161" s="1036">
        <f t="shared" si="160"/>
        <v>11</v>
      </c>
      <c r="D161" s="1039" t="s">
        <v>185</v>
      </c>
      <c r="E161" s="1036">
        <f t="shared" si="161"/>
        <v>27</v>
      </c>
      <c r="L161" s="65"/>
      <c r="M161" s="65"/>
      <c r="N161" s="65"/>
      <c r="O161" s="65"/>
      <c r="P161" s="65"/>
      <c r="Q161" s="65"/>
      <c r="R161" s="65"/>
      <c r="S161" s="65"/>
      <c r="T161" s="65"/>
      <c r="U161" s="65"/>
      <c r="V161" s="65"/>
      <c r="W161" s="65"/>
      <c r="X161" s="65"/>
      <c r="Y161" s="65"/>
      <c r="Z161" s="65"/>
    </row>
    <row r="162" spans="1:26" ht="12.75">
      <c r="A162" s="1038" t="s">
        <v>171</v>
      </c>
      <c r="B162" s="1036">
        <f t="shared" si="160"/>
        <v>12</v>
      </c>
      <c r="D162" s="1039" t="s">
        <v>186</v>
      </c>
      <c r="E162" s="1036">
        <f t="shared" si="161"/>
        <v>28</v>
      </c>
      <c r="L162" s="65"/>
      <c r="M162" s="65"/>
      <c r="N162" s="65"/>
      <c r="O162" s="65"/>
      <c r="P162" s="65"/>
      <c r="Q162" s="65"/>
      <c r="R162" s="65"/>
      <c r="S162" s="65"/>
      <c r="T162" s="65"/>
      <c r="U162" s="65"/>
      <c r="V162" s="65"/>
      <c r="W162" s="65"/>
      <c r="X162" s="65"/>
      <c r="Y162" s="65"/>
      <c r="Z162" s="65"/>
    </row>
    <row r="163" spans="1:26" ht="12.75">
      <c r="A163" s="1038" t="s">
        <v>172</v>
      </c>
      <c r="B163" s="1036">
        <f t="shared" si="160"/>
        <v>13</v>
      </c>
      <c r="D163" s="1039" t="s">
        <v>187</v>
      </c>
      <c r="E163" s="1036">
        <f t="shared" si="161"/>
        <v>29</v>
      </c>
      <c r="L163" s="65"/>
      <c r="M163" s="65"/>
      <c r="N163" s="65"/>
      <c r="O163" s="65"/>
      <c r="P163" s="65"/>
      <c r="Q163" s="65"/>
      <c r="R163" s="65"/>
      <c r="S163" s="65"/>
      <c r="T163" s="65"/>
      <c r="U163" s="65"/>
      <c r="V163" s="65"/>
      <c r="W163" s="65"/>
      <c r="X163" s="65"/>
      <c r="Y163" s="65"/>
      <c r="Z163" s="65"/>
    </row>
    <row r="164" spans="1:26" ht="12.75">
      <c r="A164" s="1038" t="s">
        <v>173</v>
      </c>
      <c r="B164" s="1036">
        <f t="shared" si="160"/>
        <v>14</v>
      </c>
      <c r="D164" s="1039" t="s">
        <v>188</v>
      </c>
      <c r="E164" s="1036">
        <f t="shared" si="161"/>
        <v>30</v>
      </c>
      <c r="L164" s="65"/>
      <c r="M164" s="65"/>
      <c r="N164" s="65"/>
      <c r="O164" s="65"/>
      <c r="P164" s="65"/>
      <c r="Q164" s="65"/>
      <c r="R164" s="65"/>
      <c r="S164" s="65"/>
      <c r="T164" s="65"/>
      <c r="U164" s="65"/>
      <c r="V164" s="65"/>
      <c r="W164" s="65"/>
      <c r="X164" s="65"/>
      <c r="Y164" s="65"/>
      <c r="Z164" s="65"/>
    </row>
    <row r="165" spans="1:26" ht="12.75">
      <c r="A165" s="1038" t="s">
        <v>174</v>
      </c>
      <c r="B165" s="1036">
        <f t="shared" si="160"/>
        <v>15</v>
      </c>
      <c r="D165" s="1039" t="s">
        <v>189</v>
      </c>
      <c r="E165" s="1036">
        <f t="shared" si="161"/>
        <v>31</v>
      </c>
      <c r="L165" s="65"/>
      <c r="M165" s="65"/>
      <c r="N165" s="65"/>
      <c r="O165" s="1361"/>
      <c r="P165" s="65"/>
      <c r="Q165" s="65"/>
      <c r="R165" s="65"/>
      <c r="S165" s="65"/>
      <c r="T165" s="65"/>
      <c r="U165" s="65"/>
      <c r="V165" s="65"/>
      <c r="W165" s="65"/>
      <c r="X165" s="65"/>
      <c r="Y165" s="65"/>
      <c r="Z165" s="65"/>
    </row>
    <row r="166" spans="1:26" ht="12.75">
      <c r="A166" s="1038" t="s">
        <v>175</v>
      </c>
      <c r="B166" s="1036">
        <f t="shared" si="160"/>
        <v>16</v>
      </c>
      <c r="D166" s="1039" t="s">
        <v>190</v>
      </c>
      <c r="E166" s="1036">
        <f t="shared" si="161"/>
        <v>32</v>
      </c>
      <c r="L166" s="65"/>
      <c r="M166" s="65"/>
      <c r="N166" s="65"/>
      <c r="O166" s="1361"/>
      <c r="P166" s="65"/>
      <c r="Q166" s="65"/>
      <c r="R166" s="65"/>
      <c r="S166" s="65"/>
      <c r="T166" s="65"/>
      <c r="U166" s="65"/>
      <c r="V166" s="65"/>
      <c r="W166" s="65"/>
      <c r="X166" s="65"/>
      <c r="Y166" s="65"/>
      <c r="Z166" s="65"/>
    </row>
    <row r="167" spans="1:26" ht="12.75">
      <c r="A167" s="1037" t="s">
        <v>327</v>
      </c>
      <c r="B167" s="1036">
        <f t="shared" si="160"/>
        <v>17</v>
      </c>
      <c r="D167" s="1039" t="s">
        <v>191</v>
      </c>
      <c r="E167" s="1036">
        <f t="shared" si="161"/>
        <v>33</v>
      </c>
      <c r="L167" s="65"/>
      <c r="M167" s="65"/>
      <c r="N167" s="65"/>
      <c r="O167" s="1361"/>
      <c r="P167" s="65"/>
      <c r="Q167" s="65"/>
      <c r="R167" s="65"/>
      <c r="S167" s="65"/>
      <c r="T167" s="65"/>
      <c r="U167" s="65"/>
      <c r="V167" s="65"/>
      <c r="W167" s="65"/>
      <c r="X167" s="65"/>
      <c r="Y167" s="65"/>
      <c r="Z167" s="65"/>
    </row>
    <row r="168" spans="1:26" ht="12.75">
      <c r="A168" s="1038" t="s">
        <v>177</v>
      </c>
      <c r="B168" s="1036">
        <f t="shared" si="160"/>
        <v>18</v>
      </c>
      <c r="D168" s="1040" t="s">
        <v>329</v>
      </c>
      <c r="E168" s="1036">
        <f t="shared" si="161"/>
        <v>34</v>
      </c>
      <c r="L168" s="65"/>
      <c r="M168" s="65"/>
      <c r="N168" s="65"/>
      <c r="O168" s="1361"/>
      <c r="P168" s="65"/>
      <c r="Q168" s="65"/>
      <c r="R168" s="65"/>
      <c r="S168" s="65"/>
      <c r="T168" s="65"/>
      <c r="U168" s="65"/>
      <c r="V168" s="65"/>
      <c r="W168" s="65"/>
      <c r="X168" s="65"/>
      <c r="Y168" s="65"/>
      <c r="Z168" s="65"/>
    </row>
    <row r="169" spans="1:26" ht="12.75">
      <c r="A169" s="1038" t="s">
        <v>178</v>
      </c>
      <c r="B169" s="1036">
        <f t="shared" si="160"/>
        <v>19</v>
      </c>
      <c r="D169" s="1041" t="s">
        <v>357</v>
      </c>
      <c r="E169" s="1036">
        <f t="shared" si="161"/>
        <v>35</v>
      </c>
      <c r="L169" s="65"/>
      <c r="M169" s="65"/>
      <c r="N169" s="65"/>
      <c r="O169" s="1361"/>
      <c r="P169" s="65"/>
      <c r="Q169" s="65"/>
      <c r="R169" s="65"/>
      <c r="S169" s="65"/>
      <c r="T169" s="65"/>
      <c r="U169" s="65"/>
      <c r="V169" s="65"/>
      <c r="W169" s="65"/>
      <c r="X169" s="65"/>
      <c r="Y169" s="65"/>
      <c r="Z169" s="65"/>
    </row>
    <row r="170" spans="1:26" ht="12.75">
      <c r="A170" s="1038" t="s">
        <v>179</v>
      </c>
      <c r="B170" s="1036">
        <f t="shared" si="160"/>
        <v>20</v>
      </c>
      <c r="D170" s="1042" t="s">
        <v>358</v>
      </c>
      <c r="E170" s="1036">
        <f t="shared" si="161"/>
        <v>36</v>
      </c>
      <c r="L170" s="65"/>
      <c r="M170" s="65"/>
      <c r="N170" s="65"/>
      <c r="O170" s="1362"/>
      <c r="P170" s="65"/>
      <c r="Q170" s="65"/>
      <c r="R170" s="65"/>
      <c r="S170" s="65"/>
      <c r="T170" s="65"/>
      <c r="U170" s="65"/>
      <c r="V170" s="65"/>
      <c r="W170" s="65"/>
      <c r="X170" s="65"/>
      <c r="Y170" s="65"/>
      <c r="Z170" s="65"/>
    </row>
    <row r="171" spans="4:26" ht="12.75">
      <c r="D171" s="1042" t="s">
        <v>359</v>
      </c>
      <c r="E171" s="1036">
        <f t="shared" si="161"/>
        <v>37</v>
      </c>
      <c r="L171" s="65"/>
      <c r="M171" s="65"/>
      <c r="N171" s="65"/>
      <c r="O171" s="1361"/>
      <c r="P171" s="65"/>
      <c r="Q171" s="65"/>
      <c r="R171" s="65"/>
      <c r="S171" s="65"/>
      <c r="T171" s="65"/>
      <c r="U171" s="65"/>
      <c r="V171" s="65"/>
      <c r="W171" s="65"/>
      <c r="X171" s="65"/>
      <c r="Y171" s="65"/>
      <c r="Z171" s="65"/>
    </row>
    <row r="172" spans="12:26" ht="12.75">
      <c r="L172" s="65"/>
      <c r="M172" s="65"/>
      <c r="N172" s="65"/>
      <c r="O172" s="1361"/>
      <c r="P172" s="65"/>
      <c r="Q172" s="65"/>
      <c r="R172" s="65"/>
      <c r="S172" s="65"/>
      <c r="T172" s="65"/>
      <c r="U172" s="65"/>
      <c r="V172" s="65"/>
      <c r="W172" s="65"/>
      <c r="X172" s="65"/>
      <c r="Y172" s="65"/>
      <c r="Z172" s="65"/>
    </row>
    <row r="173" spans="12:26" ht="12.75">
      <c r="L173" s="65"/>
      <c r="M173" s="65"/>
      <c r="N173" s="65"/>
      <c r="O173" s="1361"/>
      <c r="P173" s="65"/>
      <c r="Q173" s="65"/>
      <c r="R173" s="65"/>
      <c r="S173" s="65"/>
      <c r="T173" s="65"/>
      <c r="U173" s="65"/>
      <c r="V173" s="65"/>
      <c r="W173" s="65"/>
      <c r="X173" s="65"/>
      <c r="Y173" s="65"/>
      <c r="Z173" s="65"/>
    </row>
    <row r="174" spans="12:26" ht="12.75">
      <c r="L174" s="65"/>
      <c r="M174" s="65"/>
      <c r="N174" s="65"/>
      <c r="O174" s="1361"/>
      <c r="P174" s="65"/>
      <c r="Q174" s="65"/>
      <c r="R174" s="65"/>
      <c r="S174" s="65"/>
      <c r="T174" s="65"/>
      <c r="U174" s="65"/>
      <c r="V174" s="65"/>
      <c r="W174" s="65"/>
      <c r="X174" s="65"/>
      <c r="Y174" s="65"/>
      <c r="Z174" s="65"/>
    </row>
    <row r="175" spans="12:26" ht="12.75">
      <c r="L175" s="65"/>
      <c r="M175" s="65"/>
      <c r="N175" s="65"/>
      <c r="O175" s="1361"/>
      <c r="P175" s="65"/>
      <c r="Q175" s="65"/>
      <c r="R175" s="65"/>
      <c r="S175" s="65"/>
      <c r="T175" s="65"/>
      <c r="U175" s="65"/>
      <c r="V175" s="65"/>
      <c r="W175" s="65"/>
      <c r="X175" s="65"/>
      <c r="Y175" s="65"/>
      <c r="Z175" s="65"/>
    </row>
    <row r="176" spans="12:26" ht="12.75">
      <c r="L176" s="65"/>
      <c r="M176" s="65"/>
      <c r="N176" s="65"/>
      <c r="O176" s="1361"/>
      <c r="P176" s="65"/>
      <c r="Q176" s="65"/>
      <c r="R176" s="65"/>
      <c r="S176" s="65"/>
      <c r="T176" s="65"/>
      <c r="U176" s="65"/>
      <c r="V176" s="65"/>
      <c r="W176" s="65"/>
      <c r="X176" s="65"/>
      <c r="Y176" s="65"/>
      <c r="Z176" s="65"/>
    </row>
    <row r="177" spans="12:26" ht="12.75">
      <c r="L177" s="65"/>
      <c r="M177" s="65"/>
      <c r="N177" s="65"/>
      <c r="O177" s="1361"/>
      <c r="P177" s="65"/>
      <c r="Q177" s="65"/>
      <c r="R177" s="65"/>
      <c r="S177" s="65"/>
      <c r="T177" s="65"/>
      <c r="U177" s="65"/>
      <c r="V177" s="65"/>
      <c r="W177" s="65"/>
      <c r="X177" s="65"/>
      <c r="Y177" s="65"/>
      <c r="Z177" s="65"/>
    </row>
    <row r="178" spans="12:26" ht="12.75">
      <c r="L178" s="65"/>
      <c r="M178" s="65"/>
      <c r="N178" s="65"/>
      <c r="O178" s="1361"/>
      <c r="P178" s="65"/>
      <c r="Q178" s="65"/>
      <c r="R178" s="65"/>
      <c r="S178" s="65"/>
      <c r="T178" s="65"/>
      <c r="U178" s="65"/>
      <c r="V178" s="65"/>
      <c r="W178" s="65"/>
      <c r="X178" s="65"/>
      <c r="Y178" s="65"/>
      <c r="Z178" s="65"/>
    </row>
    <row r="179" spans="1:26" ht="12.75">
      <c r="A179" s="55" t="s">
        <v>36</v>
      </c>
      <c r="B179" s="522" t="s">
        <v>245</v>
      </c>
      <c r="C179" s="840" t="s">
        <v>242</v>
      </c>
      <c r="D179" s="523" t="s">
        <v>243</v>
      </c>
      <c r="E179" s="840" t="s">
        <v>49</v>
      </c>
      <c r="F179" s="840"/>
      <c r="G179" s="840"/>
      <c r="H179" s="840"/>
      <c r="I179" s="840" t="s">
        <v>238</v>
      </c>
      <c r="J179" s="840" t="s">
        <v>244</v>
      </c>
      <c r="L179" s="65"/>
      <c r="M179" s="65"/>
      <c r="N179" s="65"/>
      <c r="O179" s="358"/>
      <c r="P179" s="65"/>
      <c r="Q179" s="65"/>
      <c r="R179" s="65"/>
      <c r="S179" s="65"/>
      <c r="T179" s="65"/>
      <c r="U179" s="65"/>
      <c r="V179" s="65"/>
      <c r="W179" s="65"/>
      <c r="X179" s="65"/>
      <c r="Y179" s="65"/>
      <c r="Z179" s="65"/>
    </row>
    <row r="180" spans="1:26" ht="15.75">
      <c r="A180" s="112"/>
      <c r="B180" s="1374" t="s">
        <v>436</v>
      </c>
      <c r="C180" s="1375"/>
      <c r="D180" s="1375"/>
      <c r="E180" s="1375"/>
      <c r="F180" s="1375"/>
      <c r="G180" s="1375"/>
      <c r="H180" s="1375"/>
      <c r="I180" s="1375"/>
      <c r="J180" s="1375"/>
      <c r="L180" s="65"/>
      <c r="M180" s="65"/>
      <c r="N180" s="65"/>
      <c r="O180" s="358"/>
      <c r="P180" s="65"/>
      <c r="Q180" s="65"/>
      <c r="R180" s="65"/>
      <c r="S180" s="65"/>
      <c r="T180" s="65"/>
      <c r="U180" s="65"/>
      <c r="V180" s="65"/>
      <c r="W180" s="65"/>
      <c r="X180" s="65"/>
      <c r="Y180" s="65"/>
      <c r="Z180" s="65"/>
    </row>
    <row r="181" spans="1:26" ht="12.75">
      <c r="A181" s="212"/>
      <c r="B181" s="49"/>
      <c r="C181" s="840" t="s">
        <v>277</v>
      </c>
      <c r="D181" s="840"/>
      <c r="E181" s="840"/>
      <c r="F181" s="840"/>
      <c r="G181" s="840"/>
      <c r="H181" s="840"/>
      <c r="I181" s="840"/>
      <c r="J181" s="840"/>
      <c r="L181" s="65"/>
      <c r="M181" s="65"/>
      <c r="N181" s="65"/>
      <c r="O181" s="358"/>
      <c r="P181" s="65"/>
      <c r="Q181" s="65"/>
      <c r="R181" s="65"/>
      <c r="S181" s="65"/>
      <c r="T181" s="65"/>
      <c r="U181" s="65"/>
      <c r="V181" s="65"/>
      <c r="W181" s="65"/>
      <c r="X181" s="65"/>
      <c r="Y181" s="65"/>
      <c r="Z181" s="65"/>
    </row>
    <row r="182" spans="1:26" ht="12.75">
      <c r="A182" s="48" t="s">
        <v>38</v>
      </c>
      <c r="B182" s="49"/>
      <c r="C182" s="611"/>
      <c r="D182" s="611"/>
      <c r="E182" s="611"/>
      <c r="F182" s="612"/>
      <c r="G182" s="612"/>
      <c r="H182" s="612"/>
      <c r="I182" s="611"/>
      <c r="J182" s="611"/>
      <c r="L182" s="65"/>
      <c r="M182" s="65"/>
      <c r="N182" s="65"/>
      <c r="O182" s="65"/>
      <c r="P182" s="65"/>
      <c r="Q182" s="65"/>
      <c r="R182" s="65"/>
      <c r="S182" s="65"/>
      <c r="T182" s="65"/>
      <c r="U182" s="65"/>
      <c r="V182" s="65"/>
      <c r="W182" s="65"/>
      <c r="X182" s="65"/>
      <c r="Y182" s="65"/>
      <c r="Z182" s="65"/>
    </row>
    <row r="183" spans="1:26" ht="12.75">
      <c r="A183" s="209" t="s">
        <v>127</v>
      </c>
      <c r="B183" s="210"/>
      <c r="C183" s="613"/>
      <c r="D183" s="613"/>
      <c r="E183" s="613"/>
      <c r="F183" s="614"/>
      <c r="G183" s="614"/>
      <c r="H183" s="614"/>
      <c r="I183" s="613"/>
      <c r="J183" s="613"/>
      <c r="L183" s="65"/>
      <c r="M183" s="65"/>
      <c r="N183" s="65"/>
      <c r="O183" s="65"/>
      <c r="P183" s="65"/>
      <c r="Q183" s="65"/>
      <c r="R183" s="65"/>
      <c r="S183" s="65"/>
      <c r="T183" s="65"/>
      <c r="U183" s="65"/>
      <c r="V183" s="65"/>
      <c r="W183" s="65"/>
      <c r="X183" s="65"/>
      <c r="Y183" s="65"/>
      <c r="Z183" s="65"/>
    </row>
    <row r="184" spans="1:26" ht="12.75">
      <c r="A184" s="213" t="s">
        <v>128</v>
      </c>
      <c r="B184" s="253"/>
      <c r="C184" s="812">
        <v>553041.1008874723</v>
      </c>
      <c r="D184" s="812"/>
      <c r="E184" s="812">
        <v>25408.330945947808</v>
      </c>
      <c r="F184" s="813"/>
      <c r="G184" s="813"/>
      <c r="H184" s="813"/>
      <c r="I184" s="814"/>
      <c r="J184" s="812">
        <v>1304.5338927243208</v>
      </c>
      <c r="L184" s="65"/>
      <c r="M184" s="65"/>
      <c r="N184" s="65"/>
      <c r="O184" s="65"/>
      <c r="P184" s="65"/>
      <c r="Q184" s="65"/>
      <c r="R184" s="65"/>
      <c r="S184" s="65"/>
      <c r="T184" s="65"/>
      <c r="U184" s="65"/>
      <c r="V184" s="65"/>
      <c r="W184" s="65"/>
      <c r="X184" s="65"/>
      <c r="Y184" s="65"/>
      <c r="Z184" s="65"/>
    </row>
    <row r="185" spans="1:26" ht="12.75" customHeight="1">
      <c r="A185" s="276" t="s">
        <v>259</v>
      </c>
      <c r="B185" s="253"/>
      <c r="C185" s="812">
        <v>1686402.7041907955</v>
      </c>
      <c r="D185" s="812">
        <v>3863613.413422331</v>
      </c>
      <c r="E185" s="812"/>
      <c r="F185" s="813"/>
      <c r="G185" s="813"/>
      <c r="H185" s="813"/>
      <c r="I185" s="814"/>
      <c r="J185" s="812">
        <v>555.0016117613127</v>
      </c>
      <c r="L185" s="65"/>
      <c r="M185" s="65"/>
      <c r="N185" s="65"/>
      <c r="O185" s="65"/>
      <c r="P185" s="65"/>
      <c r="Q185" s="65"/>
      <c r="R185" s="65"/>
      <c r="S185" s="65"/>
      <c r="T185" s="65"/>
      <c r="U185" s="65"/>
      <c r="V185" s="65"/>
      <c r="W185" s="65"/>
      <c r="X185" s="65"/>
      <c r="Y185" s="65"/>
      <c r="Z185" s="65"/>
    </row>
    <row r="186" spans="1:26" ht="12.75">
      <c r="A186" s="216" t="s">
        <v>134</v>
      </c>
      <c r="B186" s="253"/>
      <c r="C186" s="813"/>
      <c r="D186" s="813"/>
      <c r="E186" s="815">
        <v>0</v>
      </c>
      <c r="F186" s="813"/>
      <c r="G186" s="813"/>
      <c r="H186" s="813"/>
      <c r="I186" s="814">
        <v>0</v>
      </c>
      <c r="J186" s="812">
        <v>0</v>
      </c>
      <c r="L186" s="65"/>
      <c r="M186" s="65"/>
      <c r="N186" s="65"/>
      <c r="O186" s="65"/>
      <c r="P186" s="65"/>
      <c r="Q186" s="65"/>
      <c r="R186" s="65"/>
      <c r="S186" s="65"/>
      <c r="T186" s="65"/>
      <c r="U186" s="65"/>
      <c r="V186" s="65"/>
      <c r="W186" s="65"/>
      <c r="X186" s="65"/>
      <c r="Y186" s="65"/>
      <c r="Z186" s="65"/>
    </row>
    <row r="187" spans="1:26" ht="12.75">
      <c r="A187" s="213" t="s">
        <v>131</v>
      </c>
      <c r="B187" s="253"/>
      <c r="C187" s="813"/>
      <c r="D187" s="813"/>
      <c r="E187" s="815"/>
      <c r="F187" s="813"/>
      <c r="G187" s="813"/>
      <c r="H187" s="813"/>
      <c r="I187" s="814"/>
      <c r="J187" s="813"/>
      <c r="L187" s="65"/>
      <c r="M187" s="65"/>
      <c r="N187" s="65"/>
      <c r="O187" s="65"/>
      <c r="P187" s="65"/>
      <c r="Q187" s="65"/>
      <c r="R187" s="65"/>
      <c r="S187" s="65"/>
      <c r="T187" s="65"/>
      <c r="U187" s="65"/>
      <c r="V187" s="65"/>
      <c r="W187" s="65"/>
      <c r="X187" s="65"/>
      <c r="Y187" s="65"/>
      <c r="Z187" s="65"/>
    </row>
    <row r="188" spans="1:26" ht="12.75">
      <c r="A188" s="209" t="s">
        <v>132</v>
      </c>
      <c r="B188" s="210"/>
      <c r="C188" s="812">
        <v>2068238.2965256379</v>
      </c>
      <c r="D188" s="812"/>
      <c r="E188" s="812"/>
      <c r="F188" s="813"/>
      <c r="G188" s="813"/>
      <c r="H188" s="813"/>
      <c r="I188" s="814"/>
      <c r="J188" s="812"/>
      <c r="L188" s="65"/>
      <c r="M188" s="65"/>
      <c r="N188" s="65"/>
      <c r="O188" s="65"/>
      <c r="P188" s="65"/>
      <c r="Q188" s="65"/>
      <c r="R188" s="65"/>
      <c r="S188" s="65"/>
      <c r="T188" s="65"/>
      <c r="U188" s="65"/>
      <c r="V188" s="65"/>
      <c r="W188" s="65"/>
      <c r="X188" s="65"/>
      <c r="Y188" s="65"/>
      <c r="Z188" s="65"/>
    </row>
    <row r="189" spans="1:26" ht="12.75">
      <c r="A189" s="48" t="s">
        <v>39</v>
      </c>
      <c r="B189" s="49"/>
      <c r="C189" s="813"/>
      <c r="D189" s="813"/>
      <c r="E189" s="813"/>
      <c r="F189" s="813"/>
      <c r="G189" s="813"/>
      <c r="H189" s="813"/>
      <c r="I189" s="814"/>
      <c r="J189" s="813"/>
      <c r="L189" s="65"/>
      <c r="M189" s="65"/>
      <c r="N189" s="65"/>
      <c r="O189" s="65"/>
      <c r="P189" s="65"/>
      <c r="Q189" s="65"/>
      <c r="R189" s="65"/>
      <c r="S189" s="65"/>
      <c r="T189" s="65"/>
      <c r="U189" s="65"/>
      <c r="V189" s="65"/>
      <c r="W189" s="65"/>
      <c r="X189" s="65"/>
      <c r="Y189" s="65"/>
      <c r="Z189" s="65"/>
    </row>
    <row r="190" spans="1:26" ht="12.75">
      <c r="A190" s="209" t="s">
        <v>127</v>
      </c>
      <c r="B190" s="210"/>
      <c r="C190" s="812">
        <v>61321.89446356048</v>
      </c>
      <c r="D190" s="812"/>
      <c r="E190" s="813"/>
      <c r="F190" s="813"/>
      <c r="G190" s="813"/>
      <c r="H190" s="813"/>
      <c r="I190" s="814"/>
      <c r="J190" s="812">
        <v>370579.82546559477</v>
      </c>
      <c r="L190" s="65"/>
      <c r="M190" s="65"/>
      <c r="N190" s="65"/>
      <c r="O190" s="65"/>
      <c r="P190" s="65"/>
      <c r="Q190" s="65"/>
      <c r="R190" s="65"/>
      <c r="S190" s="65"/>
      <c r="T190" s="65"/>
      <c r="U190" s="65"/>
      <c r="V190" s="65"/>
      <c r="W190" s="65"/>
      <c r="X190" s="65"/>
      <c r="Y190" s="65"/>
      <c r="Z190" s="65"/>
    </row>
    <row r="191" spans="1:26" ht="12.75">
      <c r="A191" s="209" t="s">
        <v>132</v>
      </c>
      <c r="B191" s="210"/>
      <c r="C191" s="812">
        <v>74780.9326453804</v>
      </c>
      <c r="D191" s="812"/>
      <c r="E191" s="813"/>
      <c r="F191" s="813"/>
      <c r="G191" s="813"/>
      <c r="H191" s="813"/>
      <c r="I191" s="814"/>
      <c r="J191" s="812">
        <v>348212.41682102735</v>
      </c>
      <c r="L191" s="65"/>
      <c r="M191" s="65"/>
      <c r="N191" s="65"/>
      <c r="O191" s="65"/>
      <c r="P191" s="65"/>
      <c r="Q191" s="65"/>
      <c r="R191" s="65"/>
      <c r="S191" s="65"/>
      <c r="T191" s="65"/>
      <c r="U191" s="65"/>
      <c r="V191" s="65"/>
      <c r="W191" s="65"/>
      <c r="X191" s="65"/>
      <c r="Y191" s="65"/>
      <c r="Z191" s="65"/>
    </row>
    <row r="192" spans="1:26" ht="12.75">
      <c r="A192" s="221"/>
      <c r="B192" s="258"/>
      <c r="C192" s="258"/>
      <c r="D192" s="258"/>
      <c r="E192" s="258"/>
      <c r="F192" s="258"/>
      <c r="G192" s="258"/>
      <c r="H192" s="258"/>
      <c r="I192" s="258"/>
      <c r="J192" s="258"/>
      <c r="L192" s="65"/>
      <c r="M192" s="65"/>
      <c r="N192" s="65"/>
      <c r="O192" s="65"/>
      <c r="P192" s="65"/>
      <c r="Q192" s="65"/>
      <c r="R192" s="65"/>
      <c r="S192" s="65"/>
      <c r="T192" s="65"/>
      <c r="U192" s="65"/>
      <c r="V192" s="65"/>
      <c r="W192" s="65"/>
      <c r="X192" s="65"/>
      <c r="Y192" s="65"/>
      <c r="Z192" s="65"/>
    </row>
    <row r="193" spans="2:26" ht="12.75">
      <c r="B193" s="7" t="s">
        <v>108</v>
      </c>
      <c r="L193" s="65"/>
      <c r="M193" s="65"/>
      <c r="N193" s="65"/>
      <c r="O193" s="65"/>
      <c r="P193" s="65"/>
      <c r="Q193" s="65"/>
      <c r="R193" s="65"/>
      <c r="S193" s="65"/>
      <c r="T193" s="65"/>
      <c r="U193" s="65"/>
      <c r="V193" s="65"/>
      <c r="W193" s="65"/>
      <c r="X193" s="65"/>
      <c r="Y193" s="65"/>
      <c r="Z193" s="65"/>
    </row>
    <row r="194" spans="2:26" ht="12.75">
      <c r="B194" s="7" t="s">
        <v>72</v>
      </c>
      <c r="L194" s="65"/>
      <c r="M194" s="65"/>
      <c r="N194" s="65"/>
      <c r="O194" s="65"/>
      <c r="P194" s="65"/>
      <c r="Q194" s="65"/>
      <c r="R194" s="65"/>
      <c r="S194" s="65"/>
      <c r="T194" s="65"/>
      <c r="U194" s="65"/>
      <c r="V194" s="65"/>
      <c r="W194" s="65"/>
      <c r="X194" s="65"/>
      <c r="Y194" s="65"/>
      <c r="Z194" s="65"/>
    </row>
    <row r="195" spans="2:26" ht="12.75">
      <c r="B195" t="s">
        <v>74</v>
      </c>
      <c r="L195" s="65"/>
      <c r="M195" s="65"/>
      <c r="N195" s="65"/>
      <c r="O195" s="65"/>
      <c r="P195" s="65"/>
      <c r="Q195" s="65"/>
      <c r="R195" s="65"/>
      <c r="S195" s="65"/>
      <c r="T195" s="65"/>
      <c r="U195" s="65"/>
      <c r="V195" s="65"/>
      <c r="W195" s="65"/>
      <c r="X195" s="65"/>
      <c r="Y195" s="65"/>
      <c r="Z195" s="65"/>
    </row>
    <row r="196" spans="2:26" ht="12.75">
      <c r="B196" t="s">
        <v>100</v>
      </c>
      <c r="L196" s="65"/>
      <c r="M196" s="65"/>
      <c r="N196" s="65"/>
      <c r="O196" s="65"/>
      <c r="P196" s="65"/>
      <c r="Q196" s="65"/>
      <c r="R196" s="65"/>
      <c r="S196" s="65"/>
      <c r="T196" s="65"/>
      <c r="U196" s="65"/>
      <c r="V196" s="65"/>
      <c r="W196" s="65"/>
      <c r="X196" s="65"/>
      <c r="Y196" s="65"/>
      <c r="Z196" s="65"/>
    </row>
    <row r="197" spans="12:26" ht="12.75" customHeight="1">
      <c r="L197" s="65"/>
      <c r="M197" s="65"/>
      <c r="N197" s="65"/>
      <c r="O197" s="65"/>
      <c r="P197" s="65"/>
      <c r="Q197" s="65"/>
      <c r="R197" s="65"/>
      <c r="S197" s="65"/>
      <c r="T197" s="65"/>
      <c r="U197" s="65"/>
      <c r="V197" s="65"/>
      <c r="W197" s="65"/>
      <c r="X197" s="65"/>
      <c r="Y197" s="65"/>
      <c r="Z197" s="65"/>
    </row>
    <row r="198" spans="12:26" ht="12.75">
      <c r="L198" s="65"/>
      <c r="M198" s="65"/>
      <c r="N198" s="65"/>
      <c r="O198" s="65"/>
      <c r="P198" s="65"/>
      <c r="Q198" s="65"/>
      <c r="R198" s="65"/>
      <c r="S198" s="65"/>
      <c r="T198" s="65"/>
      <c r="U198" s="65"/>
      <c r="V198" s="65"/>
      <c r="W198" s="65"/>
      <c r="X198" s="65"/>
      <c r="Y198" s="65"/>
      <c r="Z198" s="65"/>
    </row>
    <row r="199" spans="1:26" ht="12.75">
      <c r="A199" s="48" t="s">
        <v>38</v>
      </c>
      <c r="C199" s="843" t="s">
        <v>281</v>
      </c>
      <c r="D199" s="844"/>
      <c r="E199" s="844"/>
      <c r="F199" s="844"/>
      <c r="G199" s="844"/>
      <c r="H199" s="844"/>
      <c r="I199" s="844"/>
      <c r="J199" s="845"/>
      <c r="L199" s="65"/>
      <c r="M199" s="65"/>
      <c r="N199" s="65"/>
      <c r="O199" s="65"/>
      <c r="P199" s="65"/>
      <c r="Q199" s="65"/>
      <c r="R199" s="65"/>
      <c r="S199" s="65"/>
      <c r="T199" s="65"/>
      <c r="U199" s="65"/>
      <c r="V199" s="65"/>
      <c r="W199" s="65"/>
      <c r="X199" s="65"/>
      <c r="Y199" s="65"/>
      <c r="Z199" s="65"/>
    </row>
    <row r="200" spans="1:26" ht="12.75">
      <c r="A200" s="209" t="s">
        <v>127</v>
      </c>
      <c r="C200" s="586" t="s">
        <v>258</v>
      </c>
      <c r="D200" s="586" t="s">
        <v>260</v>
      </c>
      <c r="E200" s="586" t="s">
        <v>120</v>
      </c>
      <c r="F200" s="596"/>
      <c r="G200" s="91"/>
      <c r="H200" s="1"/>
      <c r="I200" s="586" t="s">
        <v>261</v>
      </c>
      <c r="J200" s="586" t="s">
        <v>257</v>
      </c>
      <c r="L200" s="65"/>
      <c r="M200" s="65"/>
      <c r="N200" s="65"/>
      <c r="O200" s="65"/>
      <c r="P200" s="65"/>
      <c r="Q200" s="65"/>
      <c r="R200" s="65"/>
      <c r="S200" s="65"/>
      <c r="T200" s="65"/>
      <c r="U200" s="65"/>
      <c r="V200" s="65"/>
      <c r="W200" s="65"/>
      <c r="X200" s="65"/>
      <c r="Y200" s="65"/>
      <c r="Z200" s="65"/>
    </row>
    <row r="201" spans="1:26" ht="12.75">
      <c r="A201" s="213" t="s">
        <v>128</v>
      </c>
      <c r="B201" s="580" t="s">
        <v>278</v>
      </c>
      <c r="C201" s="600">
        <v>20.669669518578594</v>
      </c>
      <c r="D201" s="600"/>
      <c r="E201" s="602">
        <v>32.88356514319321</v>
      </c>
      <c r="F201" s="17"/>
      <c r="G201" s="17"/>
      <c r="H201" s="17"/>
      <c r="I201" s="600">
        <v>0.8267867807431437</v>
      </c>
      <c r="J201" s="604">
        <v>10.334834759289297</v>
      </c>
      <c r="L201" s="65"/>
      <c r="M201" s="65"/>
      <c r="N201" s="65"/>
      <c r="O201" s="65"/>
      <c r="P201" s="65"/>
      <c r="Q201" s="65"/>
      <c r="R201" s="65"/>
      <c r="S201" s="65"/>
      <c r="T201" s="65"/>
      <c r="U201" s="65"/>
      <c r="V201" s="65"/>
      <c r="W201" s="65"/>
      <c r="X201" s="65"/>
      <c r="Y201" s="65"/>
      <c r="Z201" s="65"/>
    </row>
    <row r="202" spans="1:26" ht="12.75">
      <c r="A202" s="276" t="s">
        <v>259</v>
      </c>
      <c r="B202" s="580" t="s">
        <v>278</v>
      </c>
      <c r="C202" s="600">
        <v>32.5965530133511</v>
      </c>
      <c r="D202" s="600">
        <v>43.93448449625583</v>
      </c>
      <c r="E202" s="602"/>
      <c r="F202" s="17"/>
      <c r="G202" s="17"/>
      <c r="H202" s="17"/>
      <c r="I202" s="600">
        <v>1.5888256971916417</v>
      </c>
      <c r="J202" s="604">
        <v>15.037100348420896</v>
      </c>
      <c r="L202" s="65"/>
      <c r="M202" s="65"/>
      <c r="N202" s="65"/>
      <c r="O202" s="65"/>
      <c r="P202" s="65"/>
      <c r="Q202" s="65"/>
      <c r="R202" s="65"/>
      <c r="S202" s="65"/>
      <c r="T202" s="65"/>
      <c r="U202" s="65"/>
      <c r="V202" s="65"/>
      <c r="W202" s="65"/>
      <c r="X202" s="65"/>
      <c r="Y202" s="65"/>
      <c r="Z202" s="65"/>
    </row>
    <row r="203" spans="1:26" ht="12.75">
      <c r="A203" s="216" t="s">
        <v>134</v>
      </c>
      <c r="C203" s="600"/>
      <c r="D203" s="600"/>
      <c r="E203" s="602"/>
      <c r="F203" s="17"/>
      <c r="G203" s="17"/>
      <c r="H203" s="17"/>
      <c r="I203" s="600"/>
      <c r="J203" s="604"/>
      <c r="L203" s="65"/>
      <c r="M203" s="65"/>
      <c r="N203" s="65"/>
      <c r="O203" s="65"/>
      <c r="P203" s="65"/>
      <c r="Q203" s="65"/>
      <c r="R203" s="65"/>
      <c r="S203" s="65"/>
      <c r="T203" s="65"/>
      <c r="U203" s="65"/>
      <c r="V203" s="65"/>
      <c r="W203" s="65"/>
      <c r="X203" s="65"/>
      <c r="Y203" s="65"/>
      <c r="Z203" s="65"/>
    </row>
    <row r="204" spans="1:26" ht="12.75">
      <c r="A204" s="213" t="s">
        <v>131</v>
      </c>
      <c r="C204" s="600"/>
      <c r="D204" s="600"/>
      <c r="E204" s="602"/>
      <c r="F204" s="17"/>
      <c r="G204" s="17"/>
      <c r="H204" s="17"/>
      <c r="I204" s="600"/>
      <c r="J204" s="604"/>
      <c r="L204" s="65"/>
      <c r="M204" s="65"/>
      <c r="N204" s="65"/>
      <c r="O204" s="65"/>
      <c r="P204" s="65"/>
      <c r="Q204" s="65"/>
      <c r="R204" s="65"/>
      <c r="S204" s="65"/>
      <c r="T204" s="65"/>
      <c r="U204" s="65"/>
      <c r="V204" s="65"/>
      <c r="W204" s="65"/>
      <c r="X204" s="65"/>
      <c r="Y204" s="65"/>
      <c r="Z204" s="65"/>
    </row>
    <row r="205" spans="1:26" ht="12.75">
      <c r="A205" s="209" t="s">
        <v>132</v>
      </c>
      <c r="B205" s="580" t="s">
        <v>279</v>
      </c>
      <c r="C205" s="600">
        <v>29.839098659440708</v>
      </c>
      <c r="D205" s="600"/>
      <c r="E205" s="602"/>
      <c r="F205" s="17"/>
      <c r="G205" s="17"/>
      <c r="H205" s="17"/>
      <c r="I205" s="600">
        <v>1.2432957774766964</v>
      </c>
      <c r="J205" s="604"/>
      <c r="L205" s="65"/>
      <c r="M205" s="65"/>
      <c r="N205" s="65"/>
      <c r="O205" s="65"/>
      <c r="P205" s="65"/>
      <c r="Q205" s="65"/>
      <c r="R205" s="65"/>
      <c r="S205" s="65"/>
      <c r="T205" s="65"/>
      <c r="U205" s="65"/>
      <c r="V205" s="65"/>
      <c r="W205" s="65"/>
      <c r="X205" s="65"/>
      <c r="Y205" s="65"/>
      <c r="Z205" s="65"/>
    </row>
    <row r="206" spans="1:26" ht="12.75">
      <c r="A206" s="48" t="s">
        <v>39</v>
      </c>
      <c r="C206" s="601"/>
      <c r="D206" s="601"/>
      <c r="E206" s="603"/>
      <c r="F206" s="599"/>
      <c r="G206" s="599"/>
      <c r="H206" s="599"/>
      <c r="I206" s="601"/>
      <c r="J206" s="605"/>
      <c r="L206" s="65"/>
      <c r="M206" s="65"/>
      <c r="N206" s="65"/>
      <c r="O206" s="65"/>
      <c r="P206" s="65"/>
      <c r="Q206" s="65"/>
      <c r="R206" s="65"/>
      <c r="S206" s="65"/>
      <c r="T206" s="65"/>
      <c r="U206" s="65"/>
      <c r="V206" s="65"/>
      <c r="W206" s="65"/>
      <c r="X206" s="65"/>
      <c r="Y206" s="65"/>
      <c r="Z206" s="65"/>
    </row>
    <row r="207" spans="1:26" ht="12.75">
      <c r="A207" s="209" t="s">
        <v>127</v>
      </c>
      <c r="B207" s="580" t="s">
        <v>278</v>
      </c>
      <c r="C207" s="600">
        <v>18.374529316348212</v>
      </c>
      <c r="D207" s="600"/>
      <c r="E207" s="602"/>
      <c r="F207" s="17"/>
      <c r="G207" s="17"/>
      <c r="H207" s="17"/>
      <c r="I207" s="600"/>
      <c r="J207" s="604">
        <v>8.531031468304528</v>
      </c>
      <c r="L207" s="65"/>
      <c r="M207" s="65"/>
      <c r="N207" s="65"/>
      <c r="O207" s="65"/>
      <c r="P207" s="65"/>
      <c r="Q207" s="65"/>
      <c r="R207" s="65"/>
      <c r="S207" s="65"/>
      <c r="T207" s="65"/>
      <c r="U207" s="65"/>
      <c r="V207" s="65"/>
      <c r="W207" s="65"/>
      <c r="X207" s="65"/>
      <c r="Y207" s="65"/>
      <c r="Z207" s="65"/>
    </row>
    <row r="208" spans="1:26" ht="12.75">
      <c r="A208" s="209" t="s">
        <v>132</v>
      </c>
      <c r="B208" s="580" t="s">
        <v>279</v>
      </c>
      <c r="C208" s="600">
        <v>8.109025741290608</v>
      </c>
      <c r="D208" s="600"/>
      <c r="E208" s="602"/>
      <c r="F208" s="17"/>
      <c r="G208" s="17"/>
      <c r="H208" s="17"/>
      <c r="I208" s="600"/>
      <c r="J208" s="604">
        <v>4.054512870645304</v>
      </c>
      <c r="L208" s="65"/>
      <c r="M208" s="65"/>
      <c r="N208" s="65"/>
      <c r="O208" s="65"/>
      <c r="P208" s="65"/>
      <c r="Q208" s="65"/>
      <c r="R208" s="65"/>
      <c r="S208" s="65"/>
      <c r="T208" s="65"/>
      <c r="U208" s="65"/>
      <c r="V208" s="65"/>
      <c r="W208" s="65"/>
      <c r="X208" s="65"/>
      <c r="Y208" s="65"/>
      <c r="Z208" s="65"/>
    </row>
    <row r="209" spans="3:26" ht="12.75" customHeight="1">
      <c r="C209" s="538"/>
      <c r="D209" s="538"/>
      <c r="E209" s="538"/>
      <c r="F209" s="538"/>
      <c r="G209" s="538"/>
      <c r="H209" s="538"/>
      <c r="I209" s="538"/>
      <c r="J209" s="538"/>
      <c r="L209" s="65"/>
      <c r="M209" s="65"/>
      <c r="N209" s="65"/>
      <c r="O209" s="65"/>
      <c r="P209" s="65"/>
      <c r="Q209" s="65"/>
      <c r="R209" s="65"/>
      <c r="S209" s="65"/>
      <c r="T209" s="65"/>
      <c r="U209" s="65"/>
      <c r="V209" s="65"/>
      <c r="W209" s="65"/>
      <c r="X209" s="65"/>
      <c r="Y209" s="65"/>
      <c r="Z209" s="65"/>
    </row>
    <row r="210" spans="2:26" ht="38.25">
      <c r="B210" s="850" t="s">
        <v>287</v>
      </c>
      <c r="C210" s="538"/>
      <c r="D210" s="538"/>
      <c r="E210" s="538"/>
      <c r="F210" s="538"/>
      <c r="G210" s="538"/>
      <c r="H210" s="538"/>
      <c r="I210" s="538"/>
      <c r="J210" s="538"/>
      <c r="L210" s="65"/>
      <c r="M210" s="65"/>
      <c r="N210" s="65"/>
      <c r="O210" s="65"/>
      <c r="P210" s="65"/>
      <c r="Q210" s="65"/>
      <c r="R210" s="65"/>
      <c r="S210" s="65"/>
      <c r="T210" s="65"/>
      <c r="U210" s="65"/>
      <c r="V210" s="65"/>
      <c r="W210" s="65"/>
      <c r="X210" s="65"/>
      <c r="Y210" s="65"/>
      <c r="Z210" s="65"/>
    </row>
    <row r="211" spans="1:26" ht="12.75">
      <c r="A211" s="48" t="s">
        <v>38</v>
      </c>
      <c r="B211" s="851"/>
      <c r="C211" s="843" t="s">
        <v>262</v>
      </c>
      <c r="D211" s="844"/>
      <c r="E211" s="844"/>
      <c r="F211" s="844"/>
      <c r="G211" s="844"/>
      <c r="H211" s="844"/>
      <c r="I211" s="844"/>
      <c r="J211" s="845"/>
      <c r="L211" s="65"/>
      <c r="M211" s="65"/>
      <c r="N211" s="65"/>
      <c r="O211" s="65"/>
      <c r="P211" s="65"/>
      <c r="Q211" s="65"/>
      <c r="R211" s="65"/>
      <c r="S211" s="65"/>
      <c r="T211" s="65"/>
      <c r="U211" s="65"/>
      <c r="V211" s="65"/>
      <c r="W211" s="65"/>
      <c r="X211" s="65"/>
      <c r="Y211" s="65"/>
      <c r="Z211" s="65"/>
    </row>
    <row r="212" spans="1:26" ht="12.75">
      <c r="A212" s="209" t="s">
        <v>127</v>
      </c>
      <c r="B212" s="588" t="s">
        <v>276</v>
      </c>
      <c r="C212" s="584" t="s">
        <v>258</v>
      </c>
      <c r="D212" s="585" t="s">
        <v>260</v>
      </c>
      <c r="E212" s="598" t="s">
        <v>120</v>
      </c>
      <c r="H212" s="582"/>
      <c r="I212" s="584" t="s">
        <v>261</v>
      </c>
      <c r="J212" s="598" t="s">
        <v>257</v>
      </c>
      <c r="L212" s="65"/>
      <c r="M212" s="65"/>
      <c r="N212" s="65"/>
      <c r="O212" s="65"/>
      <c r="P212" s="65"/>
      <c r="Q212" s="65"/>
      <c r="R212" s="65"/>
      <c r="S212" s="65"/>
      <c r="T212" s="65"/>
      <c r="U212" s="65"/>
      <c r="V212" s="65"/>
      <c r="W212" s="65"/>
      <c r="X212" s="65"/>
      <c r="Y212" s="65"/>
      <c r="Z212" s="65"/>
    </row>
    <row r="213" spans="1:26" ht="12.75">
      <c r="A213" s="213" t="s">
        <v>128</v>
      </c>
      <c r="B213" s="816">
        <v>16.38010846119766</v>
      </c>
      <c r="C213" s="587">
        <v>0.9139237910943582</v>
      </c>
      <c r="D213" s="587"/>
      <c r="E213" s="587">
        <v>0.043826058031571656</v>
      </c>
      <c r="H213" s="327"/>
      <c r="I213" s="587">
        <v>0.04</v>
      </c>
      <c r="J213" s="817">
        <v>0.002250150874070152</v>
      </c>
      <c r="L213" s="65"/>
      <c r="M213" s="65"/>
      <c r="N213" s="65"/>
      <c r="O213" s="65"/>
      <c r="P213" s="65"/>
      <c r="Q213" s="65"/>
      <c r="R213" s="65"/>
      <c r="S213" s="65"/>
      <c r="T213" s="65"/>
      <c r="U213" s="65"/>
      <c r="V213" s="65"/>
      <c r="W213" s="65"/>
      <c r="X213" s="65"/>
      <c r="Y213" s="65"/>
      <c r="Z213" s="65"/>
    </row>
    <row r="214" spans="1:26" ht="12.75">
      <c r="A214" s="276" t="s">
        <v>259</v>
      </c>
      <c r="B214" s="816">
        <v>1.5390505221498685</v>
      </c>
      <c r="C214" s="817">
        <v>0.291701242251422</v>
      </c>
      <c r="D214" s="832">
        <v>0.668198757748578</v>
      </c>
      <c r="E214" s="587"/>
      <c r="H214" s="327"/>
      <c r="I214" s="587">
        <v>0.04</v>
      </c>
      <c r="J214" s="587">
        <v>0.0001</v>
      </c>
      <c r="L214" s="65"/>
      <c r="M214" s="65"/>
      <c r="N214" s="65"/>
      <c r="O214" s="65"/>
      <c r="P214" s="65"/>
      <c r="Q214" s="65"/>
      <c r="R214" s="65"/>
      <c r="S214" s="65"/>
      <c r="T214" s="65"/>
      <c r="U214" s="65"/>
      <c r="V214" s="65"/>
      <c r="W214" s="65"/>
      <c r="X214" s="65"/>
      <c r="Y214" s="65"/>
      <c r="Z214" s="65"/>
    </row>
    <row r="215" spans="1:26" ht="12.75">
      <c r="A215" s="216" t="s">
        <v>134</v>
      </c>
      <c r="B215" s="849">
        <v>1</v>
      </c>
      <c r="C215" s="587">
        <v>0</v>
      </c>
      <c r="D215" s="587"/>
      <c r="E215" s="587"/>
      <c r="H215" s="327"/>
      <c r="I215" s="587"/>
      <c r="J215" s="587"/>
      <c r="L215" s="65"/>
      <c r="M215" s="65"/>
      <c r="N215" s="65"/>
      <c r="O215" s="65"/>
      <c r="P215" s="65"/>
      <c r="Q215" s="65"/>
      <c r="R215" s="65"/>
      <c r="S215" s="65"/>
      <c r="T215" s="65"/>
      <c r="U215" s="65"/>
      <c r="V215" s="65"/>
      <c r="W215" s="65"/>
      <c r="X215" s="65"/>
      <c r="Y215" s="65"/>
      <c r="Z215" s="65"/>
    </row>
    <row r="216" spans="1:26" ht="12.75">
      <c r="A216" s="213" t="s">
        <v>131</v>
      </c>
      <c r="B216" s="849">
        <v>1</v>
      </c>
      <c r="C216" s="587"/>
      <c r="D216" s="587"/>
      <c r="E216" s="587"/>
      <c r="H216" s="327"/>
      <c r="I216" s="587"/>
      <c r="J216" s="587"/>
      <c r="L216" s="65"/>
      <c r="M216" s="65"/>
      <c r="N216" s="65"/>
      <c r="O216" s="65"/>
      <c r="P216" s="65"/>
      <c r="Q216" s="65"/>
      <c r="R216" s="65"/>
      <c r="S216" s="65"/>
      <c r="T216" s="65"/>
      <c r="U216" s="65"/>
      <c r="V216" s="65"/>
      <c r="W216" s="65"/>
      <c r="X216" s="65"/>
      <c r="Y216" s="65"/>
      <c r="Z216" s="65"/>
    </row>
    <row r="217" spans="1:26" ht="12.75">
      <c r="A217" s="209" t="s">
        <v>132</v>
      </c>
      <c r="B217" s="816">
        <v>6.269051866406589</v>
      </c>
      <c r="C217" s="587">
        <v>0.96</v>
      </c>
      <c r="D217" s="587">
        <v>0</v>
      </c>
      <c r="E217" s="587"/>
      <c r="H217" s="327"/>
      <c r="I217" s="587">
        <v>0.04</v>
      </c>
      <c r="J217" s="587"/>
      <c r="L217" s="65"/>
      <c r="M217" s="65"/>
      <c r="N217" s="65"/>
      <c r="O217" s="65"/>
      <c r="P217" s="65"/>
      <c r="Q217" s="65"/>
      <c r="R217" s="65"/>
      <c r="S217" s="65"/>
      <c r="T217" s="65"/>
      <c r="U217" s="65"/>
      <c r="V217" s="65"/>
      <c r="W217" s="65"/>
      <c r="X217" s="65"/>
      <c r="Y217" s="65"/>
      <c r="Z217" s="65"/>
    </row>
    <row r="218" spans="1:26" ht="12.75">
      <c r="A218" s="48" t="s">
        <v>39</v>
      </c>
      <c r="B218" s="615" t="s">
        <v>286</v>
      </c>
      <c r="C218" s="587"/>
      <c r="D218" s="587"/>
      <c r="E218" s="587"/>
      <c r="H218" s="327"/>
      <c r="I218" s="587"/>
      <c r="J218" s="587"/>
      <c r="L218" s="65"/>
      <c r="M218" s="65"/>
      <c r="N218" s="65"/>
      <c r="O218" s="65"/>
      <c r="P218" s="65"/>
      <c r="Q218" s="65"/>
      <c r="R218" s="65"/>
      <c r="S218" s="65"/>
      <c r="T218" s="65"/>
      <c r="U218" s="65"/>
      <c r="V218" s="65"/>
      <c r="W218" s="65"/>
      <c r="X218" s="65"/>
      <c r="Y218" s="65"/>
      <c r="Z218" s="65"/>
    </row>
    <row r="219" spans="1:26" ht="12.75">
      <c r="A219" s="209" t="s">
        <v>127</v>
      </c>
      <c r="B219" s="816">
        <v>1.8096127357009606</v>
      </c>
      <c r="C219" s="587">
        <v>0.1419811305072346</v>
      </c>
      <c r="D219" s="587"/>
      <c r="E219" s="587"/>
      <c r="H219" s="327"/>
      <c r="I219" s="587">
        <v>0</v>
      </c>
      <c r="J219" s="817">
        <v>0.8580188694927654</v>
      </c>
      <c r="L219" s="65"/>
      <c r="M219" s="65"/>
      <c r="N219" s="65"/>
      <c r="O219" s="65"/>
      <c r="P219" s="65"/>
      <c r="Q219" s="65"/>
      <c r="R219" s="65"/>
      <c r="S219" s="65"/>
      <c r="T219" s="65"/>
      <c r="U219" s="65"/>
      <c r="V219" s="65"/>
      <c r="W219" s="65"/>
      <c r="X219" s="65"/>
      <c r="Y219" s="65"/>
      <c r="Z219" s="65"/>
    </row>
    <row r="220" spans="1:26" ht="12.75">
      <c r="A220" s="209" t="s">
        <v>132</v>
      </c>
      <c r="B220" s="816">
        <v>2.0915996190198896</v>
      </c>
      <c r="C220" s="587">
        <v>0.17678985435519046</v>
      </c>
      <c r="D220" s="587"/>
      <c r="E220" s="587"/>
      <c r="H220" s="327"/>
      <c r="I220" s="587">
        <v>0</v>
      </c>
      <c r="J220" s="817">
        <v>0.8232101456448095</v>
      </c>
      <c r="L220" s="65"/>
      <c r="M220" s="65"/>
      <c r="N220" s="65"/>
      <c r="O220" s="65"/>
      <c r="P220" s="65"/>
      <c r="Q220" s="65"/>
      <c r="R220" s="65"/>
      <c r="S220" s="65"/>
      <c r="T220" s="65"/>
      <c r="U220" s="65"/>
      <c r="V220" s="65"/>
      <c r="W220" s="65"/>
      <c r="X220" s="65"/>
      <c r="Y220" s="65"/>
      <c r="Z220" s="65"/>
    </row>
    <row r="221" spans="3:26" ht="12.75">
      <c r="C221" s="538"/>
      <c r="D221" s="538"/>
      <c r="E221" s="538"/>
      <c r="F221" s="538"/>
      <c r="G221" s="538"/>
      <c r="H221" s="538"/>
      <c r="I221" s="594" t="s">
        <v>263</v>
      </c>
      <c r="J221" s="820">
        <v>4</v>
      </c>
      <c r="L221" s="65"/>
      <c r="M221" s="65"/>
      <c r="N221" s="65"/>
      <c r="O221" s="65"/>
      <c r="P221" s="65"/>
      <c r="Q221" s="65"/>
      <c r="R221" s="65"/>
      <c r="S221" s="65"/>
      <c r="T221" s="65"/>
      <c r="U221" s="65"/>
      <c r="V221" s="65"/>
      <c r="W221" s="65"/>
      <c r="X221" s="65"/>
      <c r="Y221" s="65"/>
      <c r="Z221" s="65"/>
    </row>
    <row r="222" spans="2:26" ht="38.25">
      <c r="B222" s="846" t="s">
        <v>280</v>
      </c>
      <c r="C222" s="538"/>
      <c r="D222" s="538"/>
      <c r="E222" s="538"/>
      <c r="F222" s="538"/>
      <c r="G222" s="538"/>
      <c r="H222" s="538"/>
      <c r="I222" s="538"/>
      <c r="L222" s="65"/>
      <c r="M222" s="65"/>
      <c r="N222" s="65"/>
      <c r="O222" s="65"/>
      <c r="P222" s="65"/>
      <c r="Q222" s="65"/>
      <c r="R222" s="65"/>
      <c r="S222" s="65"/>
      <c r="T222" s="65"/>
      <c r="U222" s="65"/>
      <c r="V222" s="65"/>
      <c r="W222" s="65"/>
      <c r="X222" s="65"/>
      <c r="Y222" s="65"/>
      <c r="Z222" s="65"/>
    </row>
    <row r="223" spans="1:26" ht="12.75">
      <c r="A223" s="54" t="s">
        <v>38</v>
      </c>
      <c r="B223" s="847"/>
      <c r="C223" s="843" t="s">
        <v>269</v>
      </c>
      <c r="D223" s="844"/>
      <c r="E223" s="844"/>
      <c r="F223" s="844"/>
      <c r="G223" s="844"/>
      <c r="H223" s="844"/>
      <c r="I223" s="844"/>
      <c r="J223" s="845"/>
      <c r="L223" s="65"/>
      <c r="M223" s="65"/>
      <c r="N223" s="65"/>
      <c r="O223" s="65"/>
      <c r="P223" s="65"/>
      <c r="Q223" s="65"/>
      <c r="R223" s="65"/>
      <c r="S223" s="65"/>
      <c r="T223" s="65"/>
      <c r="U223" s="65"/>
      <c r="V223" s="65"/>
      <c r="W223" s="65"/>
      <c r="X223" s="65"/>
      <c r="Y223" s="65"/>
      <c r="Z223" s="65"/>
    </row>
    <row r="224" spans="1:26" ht="12.75">
      <c r="A224" s="209" t="s">
        <v>127</v>
      </c>
      <c r="B224" s="842" t="s">
        <v>276</v>
      </c>
      <c r="C224" s="584" t="s">
        <v>258</v>
      </c>
      <c r="D224" s="585" t="s">
        <v>260</v>
      </c>
      <c r="E224" s="598" t="s">
        <v>120</v>
      </c>
      <c r="F224" s="582"/>
      <c r="G224" s="582"/>
      <c r="I224" s="584" t="s">
        <v>261</v>
      </c>
      <c r="J224" s="598" t="s">
        <v>257</v>
      </c>
      <c r="L224" s="65"/>
      <c r="M224" s="65"/>
      <c r="N224" s="65"/>
      <c r="O224" s="65"/>
      <c r="P224" s="65"/>
      <c r="Q224" s="65"/>
      <c r="R224" s="65"/>
      <c r="S224" s="65"/>
      <c r="T224" s="65"/>
      <c r="U224" s="65"/>
      <c r="V224" s="65"/>
      <c r="W224" s="65"/>
      <c r="X224" s="65"/>
      <c r="Y224" s="65"/>
      <c r="Z224" s="65"/>
    </row>
    <row r="225" spans="1:26" ht="12.75" customHeight="1">
      <c r="A225" s="213" t="s">
        <v>128</v>
      </c>
      <c r="B225" s="818">
        <v>15</v>
      </c>
      <c r="C225" s="809">
        <v>0.35</v>
      </c>
      <c r="D225" s="809"/>
      <c r="E225" s="809">
        <v>0.22</v>
      </c>
      <c r="F225" s="327"/>
      <c r="G225" s="327"/>
      <c r="I225" s="809">
        <v>0.35</v>
      </c>
      <c r="J225" s="809">
        <v>0.7</v>
      </c>
      <c r="L225" s="65"/>
      <c r="M225" s="65"/>
      <c r="N225" s="65"/>
      <c r="O225" s="65"/>
      <c r="P225" s="65"/>
      <c r="Q225" s="65"/>
      <c r="R225" s="65"/>
      <c r="S225" s="65"/>
      <c r="T225" s="65"/>
      <c r="U225" s="65"/>
      <c r="V225" s="65"/>
      <c r="W225" s="65"/>
      <c r="X225" s="65"/>
      <c r="Y225" s="65"/>
      <c r="Z225" s="65"/>
    </row>
    <row r="226" spans="1:26" ht="12.75">
      <c r="A226" s="276" t="s">
        <v>259</v>
      </c>
      <c r="B226" s="818">
        <v>1.35</v>
      </c>
      <c r="C226" s="809">
        <v>0.31</v>
      </c>
      <c r="D226" s="809">
        <v>0.23</v>
      </c>
      <c r="E226" s="809"/>
      <c r="F226" s="327"/>
      <c r="G226" s="327"/>
      <c r="I226" s="809">
        <v>0.265</v>
      </c>
      <c r="J226" s="809">
        <v>0.7</v>
      </c>
      <c r="L226" s="65"/>
      <c r="M226" s="65"/>
      <c r="N226" s="65"/>
      <c r="O226" s="65"/>
      <c r="P226" s="65"/>
      <c r="Q226" s="65"/>
      <c r="R226" s="65"/>
      <c r="S226" s="65"/>
      <c r="T226" s="65"/>
      <c r="U226" s="65"/>
      <c r="V226" s="65"/>
      <c r="W226" s="65"/>
      <c r="X226" s="65"/>
      <c r="Y226" s="65"/>
      <c r="Z226" s="65"/>
    </row>
    <row r="227" spans="1:26" ht="12.75">
      <c r="A227" s="216" t="s">
        <v>134</v>
      </c>
      <c r="B227" s="819"/>
      <c r="C227" s="809">
        <v>0</v>
      </c>
      <c r="D227" s="809"/>
      <c r="E227" s="809"/>
      <c r="F227" s="327"/>
      <c r="G227" s="327"/>
      <c r="I227" s="809"/>
      <c r="J227" s="809"/>
      <c r="L227" s="65"/>
      <c r="M227" s="65"/>
      <c r="N227" s="65"/>
      <c r="O227" s="65"/>
      <c r="P227" s="65"/>
      <c r="Q227" s="65"/>
      <c r="R227" s="65"/>
      <c r="S227" s="65"/>
      <c r="T227" s="65"/>
      <c r="U227" s="65"/>
      <c r="V227" s="65"/>
      <c r="W227" s="65"/>
      <c r="X227" s="65"/>
      <c r="Y227" s="65"/>
      <c r="Z227" s="65"/>
    </row>
    <row r="228" spans="1:26" ht="12.75">
      <c r="A228" s="213" t="s">
        <v>131</v>
      </c>
      <c r="B228" s="819"/>
      <c r="C228" s="809"/>
      <c r="D228" s="809"/>
      <c r="E228" s="809"/>
      <c r="F228" s="327"/>
      <c r="G228" s="327"/>
      <c r="I228" s="809"/>
      <c r="J228" s="809"/>
      <c r="L228" s="65"/>
      <c r="M228" s="65"/>
      <c r="N228" s="65"/>
      <c r="O228" s="65"/>
      <c r="P228" s="65"/>
      <c r="Q228" s="65"/>
      <c r="R228" s="65"/>
      <c r="S228" s="65"/>
      <c r="T228" s="65"/>
      <c r="U228" s="65"/>
      <c r="V228" s="65"/>
      <c r="W228" s="65"/>
      <c r="X228" s="65"/>
      <c r="Y228" s="65"/>
      <c r="Z228" s="65"/>
    </row>
    <row r="229" spans="1:26" ht="12.75">
      <c r="A229" s="209" t="s">
        <v>132</v>
      </c>
      <c r="B229" s="818">
        <v>11</v>
      </c>
      <c r="C229" s="809">
        <v>0.35</v>
      </c>
      <c r="D229" s="809">
        <v>0</v>
      </c>
      <c r="E229" s="809"/>
      <c r="F229" s="327"/>
      <c r="G229" s="327"/>
      <c r="I229" s="809">
        <v>0.35</v>
      </c>
      <c r="J229" s="809"/>
      <c r="L229" s="65"/>
      <c r="M229" s="65"/>
      <c r="N229" s="65"/>
      <c r="O229" s="65"/>
      <c r="P229" s="65"/>
      <c r="Q229" s="65"/>
      <c r="R229" s="65"/>
      <c r="S229" s="65"/>
      <c r="T229" s="65"/>
      <c r="U229" s="65"/>
      <c r="V229" s="65"/>
      <c r="W229" s="65"/>
      <c r="X229" s="65"/>
      <c r="Y229" s="65"/>
      <c r="Z229" s="65"/>
    </row>
    <row r="230" spans="1:26" ht="12.75">
      <c r="A230" s="48" t="s">
        <v>39</v>
      </c>
      <c r="B230" s="819"/>
      <c r="C230" s="809"/>
      <c r="D230" s="809"/>
      <c r="E230" s="809"/>
      <c r="F230" s="327"/>
      <c r="G230" s="327"/>
      <c r="I230" s="809"/>
      <c r="J230" s="809"/>
      <c r="L230" s="65"/>
      <c r="M230" s="65"/>
      <c r="N230" s="65"/>
      <c r="O230" s="65"/>
      <c r="P230" s="65"/>
      <c r="Q230" s="65"/>
      <c r="R230" s="65"/>
      <c r="S230" s="65"/>
      <c r="T230" s="65"/>
      <c r="U230" s="65"/>
      <c r="V230" s="65"/>
      <c r="W230" s="65"/>
      <c r="X230" s="65"/>
      <c r="Y230" s="65"/>
      <c r="Z230" s="65"/>
    </row>
    <row r="231" spans="1:26" ht="12.75">
      <c r="A231" s="209" t="s">
        <v>127</v>
      </c>
      <c r="B231" s="819"/>
      <c r="C231" s="809">
        <v>0.325</v>
      </c>
      <c r="D231" s="809"/>
      <c r="E231" s="809"/>
      <c r="F231" s="327"/>
      <c r="G231" s="327"/>
      <c r="I231" s="809"/>
      <c r="J231" s="809">
        <v>0.7</v>
      </c>
      <c r="L231" s="65"/>
      <c r="M231" s="65"/>
      <c r="N231" s="65"/>
      <c r="O231" s="65"/>
      <c r="P231" s="65"/>
      <c r="Q231" s="65"/>
      <c r="R231" s="65"/>
      <c r="S231" s="65"/>
      <c r="T231" s="65"/>
      <c r="U231" s="65"/>
      <c r="V231" s="65"/>
      <c r="W231" s="65"/>
      <c r="X231" s="65"/>
      <c r="Y231" s="65"/>
      <c r="Z231" s="65"/>
    </row>
    <row r="232" spans="1:26" ht="12.75">
      <c r="A232" s="209" t="s">
        <v>132</v>
      </c>
      <c r="B232" s="819"/>
      <c r="C232" s="809">
        <v>0.35</v>
      </c>
      <c r="D232" s="809"/>
      <c r="E232" s="809"/>
      <c r="F232" s="327"/>
      <c r="G232" s="327"/>
      <c r="I232" s="809"/>
      <c r="J232" s="809">
        <v>0.7</v>
      </c>
      <c r="L232" s="65"/>
      <c r="M232" s="65"/>
      <c r="N232" s="65"/>
      <c r="O232" s="65"/>
      <c r="P232" s="65"/>
      <c r="Q232" s="65"/>
      <c r="R232" s="65"/>
      <c r="S232" s="65"/>
      <c r="T232" s="65"/>
      <c r="U232" s="65"/>
      <c r="V232" s="65"/>
      <c r="W232" s="65"/>
      <c r="X232" s="65"/>
      <c r="Y232" s="65"/>
      <c r="Z232" s="65"/>
    </row>
    <row r="233" spans="3:26" ht="12.75">
      <c r="C233" s="538"/>
      <c r="D233" s="538"/>
      <c r="E233" s="538"/>
      <c r="F233" s="538"/>
      <c r="G233" s="538"/>
      <c r="H233" s="538"/>
      <c r="I233" s="538"/>
      <c r="J233" s="538"/>
      <c r="L233" s="65"/>
      <c r="M233" s="65"/>
      <c r="N233" s="65"/>
      <c r="O233" s="65"/>
      <c r="P233" s="65"/>
      <c r="Q233" s="65"/>
      <c r="R233" s="65"/>
      <c r="S233" s="65"/>
      <c r="T233" s="65"/>
      <c r="U233" s="65"/>
      <c r="V233" s="65"/>
      <c r="W233" s="65"/>
      <c r="X233" s="65"/>
      <c r="Y233" s="65"/>
      <c r="Z233" s="65"/>
    </row>
    <row r="234" spans="1:26" ht="51">
      <c r="A234" s="54" t="s">
        <v>38</v>
      </c>
      <c r="C234" s="538"/>
      <c r="D234" s="538"/>
      <c r="E234" s="538"/>
      <c r="F234" s="848" t="s">
        <v>337</v>
      </c>
      <c r="G234" s="848"/>
      <c r="H234" s="848"/>
      <c r="I234" s="538"/>
      <c r="J234" s="538"/>
      <c r="L234" s="65"/>
      <c r="M234" s="65"/>
      <c r="N234" s="65"/>
      <c r="O234" s="65"/>
      <c r="P234" s="65"/>
      <c r="Q234" s="65"/>
      <c r="R234" s="65"/>
      <c r="S234" s="65"/>
      <c r="T234" s="65"/>
      <c r="U234" s="65"/>
      <c r="V234" s="65"/>
      <c r="W234" s="65"/>
      <c r="X234" s="65"/>
      <c r="Y234" s="65"/>
      <c r="Z234" s="65"/>
    </row>
    <row r="235" spans="1:26" ht="12.75">
      <c r="A235" s="209" t="s">
        <v>127</v>
      </c>
      <c r="C235" s="538"/>
      <c r="D235" s="538"/>
      <c r="E235" s="538"/>
      <c r="F235" s="848"/>
      <c r="G235" s="848"/>
      <c r="H235" s="848"/>
      <c r="I235" s="538"/>
      <c r="J235" s="538"/>
      <c r="L235" s="65"/>
      <c r="M235" s="65"/>
      <c r="N235" s="65"/>
      <c r="O235" s="65"/>
      <c r="P235" s="65"/>
      <c r="Q235" s="65"/>
      <c r="R235" s="65"/>
      <c r="S235" s="65"/>
      <c r="T235" s="65"/>
      <c r="U235" s="65"/>
      <c r="V235" s="65"/>
      <c r="W235" s="65"/>
      <c r="X235" s="65"/>
      <c r="Y235" s="65"/>
      <c r="Z235" s="65"/>
    </row>
    <row r="236" spans="1:26" ht="12.75">
      <c r="A236" s="213" t="s">
        <v>128</v>
      </c>
      <c r="C236" s="538"/>
      <c r="D236" s="538"/>
      <c r="E236" s="538"/>
      <c r="G236" s="811">
        <v>7.9</v>
      </c>
      <c r="H236" s="538"/>
      <c r="I236" s="538"/>
      <c r="J236" s="538"/>
      <c r="L236" s="65"/>
      <c r="M236" s="65"/>
      <c r="N236" s="65"/>
      <c r="O236" s="65"/>
      <c r="P236" s="65"/>
      <c r="Q236" s="65"/>
      <c r="R236" s="65"/>
      <c r="S236" s="65"/>
      <c r="T236" s="65"/>
      <c r="U236" s="65"/>
      <c r="V236" s="65"/>
      <c r="W236" s="65"/>
      <c r="X236" s="65"/>
      <c r="Y236" s="65"/>
      <c r="Z236" s="65"/>
    </row>
    <row r="237" spans="1:26" ht="12.75">
      <c r="A237" s="276" t="s">
        <v>259</v>
      </c>
      <c r="C237" s="538"/>
      <c r="D237" s="538"/>
      <c r="E237" s="538"/>
      <c r="F237" s="538"/>
      <c r="G237" s="811">
        <v>12</v>
      </c>
      <c r="H237" s="538"/>
      <c r="I237" s="538"/>
      <c r="J237" s="538"/>
      <c r="L237" s="65"/>
      <c r="M237" s="65"/>
      <c r="N237" s="65"/>
      <c r="O237" s="65"/>
      <c r="P237" s="65"/>
      <c r="Q237" s="65"/>
      <c r="R237" s="65"/>
      <c r="S237" s="65"/>
      <c r="T237" s="65"/>
      <c r="U237" s="65"/>
      <c r="V237" s="65"/>
      <c r="W237" s="65"/>
      <c r="X237" s="65"/>
      <c r="Y237" s="65"/>
      <c r="Z237" s="65"/>
    </row>
    <row r="238" spans="1:26" ht="12.75">
      <c r="A238" s="216" t="s">
        <v>134</v>
      </c>
      <c r="C238" s="538"/>
      <c r="D238" s="538"/>
      <c r="E238" s="538"/>
      <c r="F238" s="538"/>
      <c r="G238" s="820"/>
      <c r="H238" s="538"/>
      <c r="I238" s="538"/>
      <c r="J238" s="538"/>
      <c r="L238" s="65"/>
      <c r="M238" s="65"/>
      <c r="N238" s="65"/>
      <c r="O238" s="65"/>
      <c r="P238" s="65"/>
      <c r="Q238" s="65"/>
      <c r="R238" s="65"/>
      <c r="S238" s="65"/>
      <c r="T238" s="65"/>
      <c r="U238" s="65"/>
      <c r="V238" s="65"/>
      <c r="W238" s="65"/>
      <c r="X238" s="65"/>
      <c r="Y238" s="65"/>
      <c r="Z238" s="65"/>
    </row>
    <row r="239" spans="1:26" ht="12.75">
      <c r="A239" s="213" t="s">
        <v>131</v>
      </c>
      <c r="C239" s="538"/>
      <c r="D239" s="538"/>
      <c r="E239" s="538"/>
      <c r="F239" s="538"/>
      <c r="G239" s="820"/>
      <c r="H239" s="538"/>
      <c r="I239" s="538"/>
      <c r="J239" s="538"/>
      <c r="L239" s="65"/>
      <c r="M239" s="65"/>
      <c r="N239" s="65"/>
      <c r="O239" s="65"/>
      <c r="P239" s="65"/>
      <c r="Q239" s="65"/>
      <c r="R239" s="65"/>
      <c r="S239" s="65"/>
      <c r="T239" s="65"/>
      <c r="U239" s="65"/>
      <c r="V239" s="65"/>
      <c r="W239" s="65"/>
      <c r="X239" s="65"/>
      <c r="Y239" s="65"/>
      <c r="Z239" s="65"/>
    </row>
    <row r="240" spans="1:26" ht="12.75">
      <c r="A240" s="209" t="s">
        <v>132</v>
      </c>
      <c r="C240" s="538"/>
      <c r="D240" s="538"/>
      <c r="E240" s="538"/>
      <c r="F240" s="538"/>
      <c r="G240" s="811">
        <v>6.2</v>
      </c>
      <c r="H240" s="538"/>
      <c r="I240" s="538"/>
      <c r="J240" s="538"/>
      <c r="L240" s="65"/>
      <c r="M240" s="65"/>
      <c r="N240" s="65"/>
      <c r="O240" s="65"/>
      <c r="P240" s="65"/>
      <c r="Q240" s="65"/>
      <c r="R240" s="65"/>
      <c r="S240" s="65"/>
      <c r="T240" s="65"/>
      <c r="U240" s="65"/>
      <c r="V240" s="65"/>
      <c r="W240" s="65"/>
      <c r="X240" s="65"/>
      <c r="Y240" s="65"/>
      <c r="Z240" s="65"/>
    </row>
    <row r="241" spans="1:26" ht="12.75">
      <c r="A241" s="48" t="s">
        <v>39</v>
      </c>
      <c r="C241" s="538"/>
      <c r="D241" s="538"/>
      <c r="E241" s="538"/>
      <c r="F241" s="538"/>
      <c r="G241" s="820"/>
      <c r="H241" s="538"/>
      <c r="I241" s="538"/>
      <c r="J241" s="538"/>
      <c r="L241" s="65"/>
      <c r="M241" s="65"/>
      <c r="N241" s="65"/>
      <c r="O241" s="65"/>
      <c r="P241" s="65"/>
      <c r="Q241" s="65"/>
      <c r="R241" s="65"/>
      <c r="S241" s="65"/>
      <c r="T241" s="65"/>
      <c r="U241" s="65"/>
      <c r="V241" s="65"/>
      <c r="W241" s="65"/>
      <c r="X241" s="65"/>
      <c r="Y241" s="65"/>
      <c r="Z241" s="65"/>
    </row>
    <row r="242" spans="1:26" ht="12.75">
      <c r="A242" s="209" t="s">
        <v>127</v>
      </c>
      <c r="C242" s="538"/>
      <c r="D242" s="538"/>
      <c r="E242" s="538"/>
      <c r="F242" s="538"/>
      <c r="G242" s="810">
        <v>3.3</v>
      </c>
      <c r="H242" s="538"/>
      <c r="I242" s="538"/>
      <c r="J242" s="538"/>
      <c r="L242" s="65"/>
      <c r="M242" s="65"/>
      <c r="N242" s="65"/>
      <c r="O242" s="65"/>
      <c r="P242" s="65"/>
      <c r="Q242" s="65"/>
      <c r="R242" s="65"/>
      <c r="S242" s="65"/>
      <c r="T242" s="65"/>
      <c r="U242" s="65"/>
      <c r="V242" s="65"/>
      <c r="W242" s="65"/>
      <c r="X242" s="65"/>
      <c r="Y242" s="65"/>
      <c r="Z242" s="65"/>
    </row>
    <row r="243" spans="1:26" ht="12.75">
      <c r="A243" s="209" t="s">
        <v>132</v>
      </c>
      <c r="C243" s="538"/>
      <c r="D243" s="538"/>
      <c r="E243" s="538"/>
      <c r="F243" s="538"/>
      <c r="G243" s="810">
        <v>2.6</v>
      </c>
      <c r="H243" s="538"/>
      <c r="I243" s="538"/>
      <c r="J243" s="538"/>
      <c r="L243" s="65"/>
      <c r="M243" s="65"/>
      <c r="N243" s="65"/>
      <c r="O243" s="65"/>
      <c r="P243" s="65"/>
      <c r="Q243" s="65"/>
      <c r="R243" s="65"/>
      <c r="S243" s="65"/>
      <c r="T243" s="65"/>
      <c r="U243" s="65"/>
      <c r="V243" s="65"/>
      <c r="W243" s="65"/>
      <c r="X243" s="65"/>
      <c r="Y243" s="65"/>
      <c r="Z243" s="65"/>
    </row>
    <row r="244" spans="2:26" ht="12.75">
      <c r="B244" s="538"/>
      <c r="C244" s="594" t="s">
        <v>258</v>
      </c>
      <c r="D244" s="594" t="s">
        <v>260</v>
      </c>
      <c r="E244" s="594" t="s">
        <v>120</v>
      </c>
      <c r="F244" s="538"/>
      <c r="G244" s="538"/>
      <c r="H244" s="538"/>
      <c r="I244" s="594" t="s">
        <v>264</v>
      </c>
      <c r="L244" s="65"/>
      <c r="M244" s="65"/>
      <c r="N244" s="65"/>
      <c r="O244" s="65"/>
      <c r="P244" s="65"/>
      <c r="Q244" s="65"/>
      <c r="R244" s="65"/>
      <c r="S244" s="65"/>
      <c r="T244" s="65"/>
      <c r="U244" s="65"/>
      <c r="V244" s="65"/>
      <c r="W244" s="65"/>
      <c r="X244" s="65"/>
      <c r="Y244" s="65"/>
      <c r="Z244" s="65"/>
    </row>
    <row r="245" spans="3:26" ht="12.75">
      <c r="C245" s="538">
        <v>0.832</v>
      </c>
      <c r="D245" s="538">
        <v>0.745</v>
      </c>
      <c r="E245" s="538"/>
      <c r="F245" s="538"/>
      <c r="G245" s="594" t="s">
        <v>265</v>
      </c>
      <c r="H245" s="538"/>
      <c r="I245" s="538">
        <v>0.789</v>
      </c>
      <c r="L245" s="65"/>
      <c r="M245" s="65"/>
      <c r="N245" s="65"/>
      <c r="O245" s="65"/>
      <c r="P245" s="65"/>
      <c r="Q245" s="65"/>
      <c r="R245" s="65"/>
      <c r="S245" s="65"/>
      <c r="T245" s="65"/>
      <c r="U245" s="65"/>
      <c r="V245" s="65"/>
      <c r="W245" s="65"/>
      <c r="X245" s="65"/>
      <c r="Y245" s="65"/>
      <c r="Z245" s="65"/>
    </row>
    <row r="246" spans="3:26" ht="12.75">
      <c r="C246" s="538">
        <v>43.1</v>
      </c>
      <c r="D246" s="538">
        <v>43.2</v>
      </c>
      <c r="E246" s="538">
        <v>49</v>
      </c>
      <c r="F246" s="538"/>
      <c r="G246" s="594" t="s">
        <v>266</v>
      </c>
      <c r="H246" s="538"/>
      <c r="I246" s="538">
        <v>29</v>
      </c>
      <c r="L246" s="65"/>
      <c r="M246" s="65"/>
      <c r="N246" s="65"/>
      <c r="O246" s="65"/>
      <c r="P246" s="65"/>
      <c r="Q246" s="65"/>
      <c r="R246" s="65"/>
      <c r="S246" s="65"/>
      <c r="T246" s="65"/>
      <c r="U246" s="65"/>
      <c r="V246" s="65"/>
      <c r="W246" s="65"/>
      <c r="X246" s="65"/>
      <c r="Y246" s="65"/>
      <c r="Z246" s="65"/>
    </row>
    <row r="247" spans="3:26" ht="12.75">
      <c r="C247" s="538">
        <v>73.25</v>
      </c>
      <c r="D247" s="538">
        <v>73.38</v>
      </c>
      <c r="E247" s="538">
        <v>55.56</v>
      </c>
      <c r="F247" s="538"/>
      <c r="G247" s="594" t="s">
        <v>267</v>
      </c>
      <c r="H247" s="538"/>
      <c r="I247" s="538">
        <v>65.86</v>
      </c>
      <c r="L247" s="65"/>
      <c r="M247" s="65"/>
      <c r="N247" s="65"/>
      <c r="O247" s="65"/>
      <c r="P247" s="65"/>
      <c r="Q247" s="65"/>
      <c r="R247" s="65"/>
      <c r="S247" s="65"/>
      <c r="T247" s="65"/>
      <c r="U247" s="65"/>
      <c r="V247" s="65"/>
      <c r="W247" s="65"/>
      <c r="X247" s="65"/>
      <c r="Y247" s="65"/>
      <c r="Z247" s="65"/>
    </row>
    <row r="248" spans="3:26" ht="12.75">
      <c r="C248" s="538">
        <v>3.067</v>
      </c>
      <c r="D248" s="538">
        <v>3.072</v>
      </c>
      <c r="E248" s="538">
        <v>2.33</v>
      </c>
      <c r="F248" s="538"/>
      <c r="G248" s="594" t="s">
        <v>268</v>
      </c>
      <c r="H248" s="538"/>
      <c r="I248" s="538">
        <v>2.757</v>
      </c>
      <c r="L248" s="65"/>
      <c r="M248" s="65"/>
      <c r="N248" s="65"/>
      <c r="O248" s="65"/>
      <c r="P248" s="65"/>
      <c r="Q248" s="65"/>
      <c r="R248" s="65"/>
      <c r="S248" s="65"/>
      <c r="T248" s="65"/>
      <c r="U248" s="65"/>
      <c r="V248" s="65"/>
      <c r="W248" s="65"/>
      <c r="X248" s="65"/>
      <c r="Y248" s="65"/>
      <c r="Z248" s="65"/>
    </row>
    <row r="249" spans="3:26" ht="12.75">
      <c r="C249" s="538"/>
      <c r="D249" s="538"/>
      <c r="E249" s="538"/>
      <c r="F249" s="538"/>
      <c r="G249" s="595"/>
      <c r="H249" s="538" t="s">
        <v>341</v>
      </c>
      <c r="I249" s="538" t="s">
        <v>340</v>
      </c>
      <c r="J249" s="538"/>
      <c r="L249" s="65"/>
      <c r="M249" s="65"/>
      <c r="N249" s="65"/>
      <c r="O249" s="65"/>
      <c r="P249" s="65"/>
      <c r="Q249" s="65"/>
      <c r="R249" s="65"/>
      <c r="S249" s="65"/>
      <c r="T249" s="65"/>
      <c r="U249" s="65"/>
      <c r="V249" s="65"/>
      <c r="W249" s="65"/>
      <c r="X249" s="65"/>
      <c r="Y249" s="65"/>
      <c r="Z249" s="65"/>
    </row>
    <row r="250" spans="3:26" ht="25.5">
      <c r="C250" s="538"/>
      <c r="D250" s="538"/>
      <c r="E250" s="607"/>
      <c r="F250" s="607"/>
      <c r="G250" s="608" t="s">
        <v>339</v>
      </c>
      <c r="H250" s="609">
        <v>99.31098401817235</v>
      </c>
      <c r="I250" s="610">
        <v>25.223095250103647</v>
      </c>
      <c r="J250" s="841" t="s">
        <v>336</v>
      </c>
      <c r="L250" s="65"/>
      <c r="M250" s="65"/>
      <c r="N250" s="65"/>
      <c r="O250" s="65"/>
      <c r="P250" s="65"/>
      <c r="Q250" s="65"/>
      <c r="R250" s="65"/>
      <c r="S250" s="65"/>
      <c r="T250" s="65"/>
      <c r="U250" s="65"/>
      <c r="V250" s="65"/>
      <c r="W250" s="65"/>
      <c r="X250" s="65"/>
      <c r="Y250" s="65"/>
      <c r="Z250" s="65"/>
    </row>
    <row r="251" spans="3:26" ht="12.75">
      <c r="C251" s="538"/>
      <c r="D251" s="538"/>
      <c r="E251" s="607"/>
      <c r="F251" s="607"/>
      <c r="G251" s="608" t="s">
        <v>275</v>
      </c>
      <c r="H251" s="610">
        <v>99.33865800130957</v>
      </c>
      <c r="I251" s="610">
        <v>25.15433126944749</v>
      </c>
      <c r="J251" s="841"/>
      <c r="L251" s="65"/>
      <c r="M251" s="65"/>
      <c r="N251" s="65"/>
      <c r="O251" s="65"/>
      <c r="P251" s="65"/>
      <c r="Q251" s="65"/>
      <c r="R251" s="65"/>
      <c r="S251" s="65"/>
      <c r="T251" s="65"/>
      <c r="U251" s="65"/>
      <c r="V251" s="65"/>
      <c r="W251" s="65"/>
      <c r="X251" s="65"/>
      <c r="Y251" s="65"/>
      <c r="Z251" s="65"/>
    </row>
    <row r="252" spans="12:26" ht="12.75">
      <c r="L252" s="65"/>
      <c r="M252" s="65"/>
      <c r="N252" s="65"/>
      <c r="O252" s="65"/>
      <c r="P252" s="65"/>
      <c r="Q252" s="65"/>
      <c r="R252" s="65"/>
      <c r="S252" s="65"/>
      <c r="T252" s="65"/>
      <c r="U252" s="65"/>
      <c r="V252" s="65"/>
      <c r="W252" s="65"/>
      <c r="X252" s="65"/>
      <c r="Y252" s="65"/>
      <c r="Z252" s="65"/>
    </row>
    <row r="253" spans="12:26" ht="12.75">
      <c r="L253" s="65"/>
      <c r="M253" s="65"/>
      <c r="N253" s="65"/>
      <c r="O253" s="65"/>
      <c r="P253" s="65"/>
      <c r="Q253" s="65"/>
      <c r="R253" s="65"/>
      <c r="S253" s="65"/>
      <c r="T253" s="65"/>
      <c r="U253" s="65"/>
      <c r="V253" s="65"/>
      <c r="W253" s="65"/>
      <c r="X253" s="65"/>
      <c r="Y253" s="65"/>
      <c r="Z253" s="65"/>
    </row>
    <row r="254" spans="12:26" ht="12.75">
      <c r="L254" s="65"/>
      <c r="M254" s="65"/>
      <c r="N254" s="65"/>
      <c r="O254" s="65"/>
      <c r="P254" s="65"/>
      <c r="Q254" s="65"/>
      <c r="R254" s="65"/>
      <c r="S254" s="65"/>
      <c r="T254" s="65"/>
      <c r="U254" s="65"/>
      <c r="V254" s="65"/>
      <c r="W254" s="65"/>
      <c r="X254" s="65"/>
      <c r="Y254" s="65"/>
      <c r="Z254" s="65"/>
    </row>
    <row r="255" spans="12:26" ht="12.75">
      <c r="L255" s="65"/>
      <c r="M255" s="65"/>
      <c r="N255" s="65"/>
      <c r="O255" s="65"/>
      <c r="P255" s="65"/>
      <c r="Q255" s="65"/>
      <c r="R255" s="65"/>
      <c r="S255" s="65"/>
      <c r="T255" s="65"/>
      <c r="U255" s="65"/>
      <c r="V255" s="65"/>
      <c r="W255" s="65"/>
      <c r="X255" s="65"/>
      <c r="Y255" s="65"/>
      <c r="Z255" s="65"/>
    </row>
    <row r="256" spans="12:26" ht="12.75">
      <c r="L256" s="65"/>
      <c r="M256" s="65"/>
      <c r="N256" s="65"/>
      <c r="O256" s="65"/>
      <c r="P256" s="65"/>
      <c r="Q256" s="65"/>
      <c r="R256" s="65"/>
      <c r="S256" s="65"/>
      <c r="T256" s="65"/>
      <c r="U256" s="65"/>
      <c r="V256" s="65"/>
      <c r="W256" s="65"/>
      <c r="X256" s="65"/>
      <c r="Y256" s="65"/>
      <c r="Z256" s="65"/>
    </row>
    <row r="257" spans="12:26" ht="12.75">
      <c r="L257" s="65"/>
      <c r="M257" s="65"/>
      <c r="N257" s="65"/>
      <c r="O257" s="65"/>
      <c r="P257" s="65"/>
      <c r="Q257" s="65"/>
      <c r="R257" s="65"/>
      <c r="S257" s="65"/>
      <c r="T257" s="65"/>
      <c r="U257" s="65"/>
      <c r="V257" s="65"/>
      <c r="W257" s="65"/>
      <c r="X257" s="65"/>
      <c r="Y257" s="65"/>
      <c r="Z257" s="65"/>
    </row>
    <row r="258" spans="12:26" ht="12.75">
      <c r="L258" s="65"/>
      <c r="M258" s="65"/>
      <c r="N258" s="65"/>
      <c r="O258" s="65"/>
      <c r="P258" s="65"/>
      <c r="Q258" s="65"/>
      <c r="R258" s="65"/>
      <c r="S258" s="65"/>
      <c r="T258" s="65"/>
      <c r="U258" s="65"/>
      <c r="V258" s="65"/>
      <c r="W258" s="65"/>
      <c r="X258" s="65"/>
      <c r="Y258" s="65"/>
      <c r="Z258" s="65"/>
    </row>
    <row r="259" spans="12:26" ht="12.75">
      <c r="L259" s="65"/>
      <c r="M259" s="65"/>
      <c r="N259" s="65"/>
      <c r="O259" s="65"/>
      <c r="P259" s="65"/>
      <c r="Q259" s="65"/>
      <c r="R259" s="65"/>
      <c r="S259" s="65"/>
      <c r="T259" s="65"/>
      <c r="U259" s="65"/>
      <c r="V259" s="65"/>
      <c r="W259" s="65"/>
      <c r="X259" s="65"/>
      <c r="Y259" s="65"/>
      <c r="Z259" s="65"/>
    </row>
    <row r="260" spans="12:26" ht="12.75">
      <c r="L260" s="65"/>
      <c r="M260" s="65"/>
      <c r="N260" s="65"/>
      <c r="O260" s="65"/>
      <c r="P260" s="65"/>
      <c r="Q260" s="65"/>
      <c r="R260" s="65"/>
      <c r="S260" s="65"/>
      <c r="T260" s="65"/>
      <c r="U260" s="65"/>
      <c r="V260" s="65"/>
      <c r="W260" s="65"/>
      <c r="X260" s="65"/>
      <c r="Y260" s="65"/>
      <c r="Z260" s="65"/>
    </row>
    <row r="261" spans="12:26" ht="12.75">
      <c r="L261" s="65"/>
      <c r="M261" s="65"/>
      <c r="N261" s="65"/>
      <c r="O261" s="65"/>
      <c r="P261" s="65"/>
      <c r="Q261" s="65"/>
      <c r="R261" s="65"/>
      <c r="S261" s="65"/>
      <c r="T261" s="65"/>
      <c r="U261" s="65"/>
      <c r="V261" s="65"/>
      <c r="W261" s="65"/>
      <c r="X261" s="65"/>
      <c r="Y261" s="65"/>
      <c r="Z261" s="65"/>
    </row>
    <row r="262" spans="12:26" ht="12.75">
      <c r="L262" s="65"/>
      <c r="M262" s="65"/>
      <c r="N262" s="65"/>
      <c r="O262" s="65"/>
      <c r="P262" s="65"/>
      <c r="Q262" s="65"/>
      <c r="R262" s="65"/>
      <c r="S262" s="65"/>
      <c r="T262" s="65"/>
      <c r="U262" s="65"/>
      <c r="V262" s="65"/>
      <c r="W262" s="65"/>
      <c r="X262" s="65"/>
      <c r="Y262" s="65"/>
      <c r="Z262" s="65"/>
    </row>
    <row r="263" spans="12:26" ht="12.75">
      <c r="L263" s="65"/>
      <c r="M263" s="65"/>
      <c r="N263" s="65"/>
      <c r="O263" s="65"/>
      <c r="P263" s="65"/>
      <c r="Q263" s="65"/>
      <c r="R263" s="65"/>
      <c r="S263" s="65"/>
      <c r="T263" s="65"/>
      <c r="U263" s="65"/>
      <c r="V263" s="65"/>
      <c r="W263" s="65"/>
      <c r="X263" s="65"/>
      <c r="Y263" s="65"/>
      <c r="Z263" s="65"/>
    </row>
    <row r="264" spans="12:26" ht="12.75">
      <c r="L264" s="65"/>
      <c r="M264" s="65"/>
      <c r="N264" s="65"/>
      <c r="O264" s="65"/>
      <c r="P264" s="65"/>
      <c r="Q264" s="65"/>
      <c r="R264" s="65"/>
      <c r="S264" s="65"/>
      <c r="T264" s="65"/>
      <c r="U264" s="65"/>
      <c r="V264" s="65"/>
      <c r="W264" s="65"/>
      <c r="X264" s="65"/>
      <c r="Y264" s="65"/>
      <c r="Z264" s="65"/>
    </row>
    <row r="265" spans="12:26" ht="12.75">
      <c r="L265" s="65"/>
      <c r="M265" s="65"/>
      <c r="N265" s="65"/>
      <c r="O265" s="65"/>
      <c r="P265" s="65"/>
      <c r="Q265" s="65"/>
      <c r="R265" s="65"/>
      <c r="S265" s="65"/>
      <c r="T265" s="65"/>
      <c r="U265" s="65"/>
      <c r="V265" s="65"/>
      <c r="W265" s="65"/>
      <c r="X265" s="65"/>
      <c r="Y265" s="65"/>
      <c r="Z265" s="65"/>
    </row>
    <row r="266" spans="12:26" ht="12.75">
      <c r="L266" s="65"/>
      <c r="M266" s="65"/>
      <c r="N266" s="65"/>
      <c r="O266" s="65"/>
      <c r="P266" s="65"/>
      <c r="Q266" s="65"/>
      <c r="R266" s="65"/>
      <c r="S266" s="65"/>
      <c r="T266" s="65"/>
      <c r="U266" s="65"/>
      <c r="V266" s="65"/>
      <c r="W266" s="65"/>
      <c r="X266" s="65"/>
      <c r="Y266" s="65"/>
      <c r="Z266" s="65"/>
    </row>
    <row r="267" spans="12:26" ht="12.75">
      <c r="L267" s="65"/>
      <c r="M267" s="65"/>
      <c r="N267" s="65"/>
      <c r="O267" s="65"/>
      <c r="P267" s="65"/>
      <c r="Q267" s="65"/>
      <c r="R267" s="65"/>
      <c r="S267" s="65"/>
      <c r="T267" s="65"/>
      <c r="U267" s="65"/>
      <c r="V267" s="65"/>
      <c r="W267" s="65"/>
      <c r="X267" s="65"/>
      <c r="Y267" s="65"/>
      <c r="Z267" s="65"/>
    </row>
    <row r="268" spans="12:26" ht="12.75">
      <c r="L268" s="65"/>
      <c r="M268" s="65"/>
      <c r="N268" s="65"/>
      <c r="O268" s="65"/>
      <c r="P268" s="65"/>
      <c r="Q268" s="65"/>
      <c r="R268" s="65"/>
      <c r="S268" s="65"/>
      <c r="T268" s="65"/>
      <c r="U268" s="65"/>
      <c r="V268" s="65"/>
      <c r="W268" s="65"/>
      <c r="X268" s="65"/>
      <c r="Y268" s="65"/>
      <c r="Z268" s="65"/>
    </row>
    <row r="269" spans="12:26" ht="12.75">
      <c r="L269" s="65"/>
      <c r="M269" s="65"/>
      <c r="N269" s="65"/>
      <c r="O269" s="65"/>
      <c r="P269" s="65"/>
      <c r="Q269" s="65"/>
      <c r="R269" s="65"/>
      <c r="S269" s="65"/>
      <c r="T269" s="65"/>
      <c r="U269" s="65"/>
      <c r="V269" s="65"/>
      <c r="W269" s="65"/>
      <c r="X269" s="65"/>
      <c r="Y269" s="65"/>
      <c r="Z269" s="65"/>
    </row>
    <row r="270" spans="12:26" ht="12.75">
      <c r="L270" s="65"/>
      <c r="M270" s="65"/>
      <c r="N270" s="65"/>
      <c r="O270" s="65"/>
      <c r="P270" s="65"/>
      <c r="Q270" s="65"/>
      <c r="R270" s="65"/>
      <c r="S270" s="65"/>
      <c r="T270" s="65"/>
      <c r="U270" s="65"/>
      <c r="V270" s="65"/>
      <c r="W270" s="65"/>
      <c r="X270" s="65"/>
      <c r="Y270" s="65"/>
      <c r="Z270" s="65"/>
    </row>
    <row r="271" spans="12:26" ht="12.75">
      <c r="L271" s="65"/>
      <c r="M271" s="65"/>
      <c r="N271" s="65"/>
      <c r="O271" s="65"/>
      <c r="P271" s="65"/>
      <c r="Q271" s="65"/>
      <c r="R271" s="65"/>
      <c r="S271" s="65"/>
      <c r="T271" s="65"/>
      <c r="U271" s="65"/>
      <c r="V271" s="65"/>
      <c r="W271" s="65"/>
      <c r="X271" s="65"/>
      <c r="Y271" s="65"/>
      <c r="Z271" s="65"/>
    </row>
    <row r="272" spans="12:26" ht="12.75">
      <c r="L272" s="65"/>
      <c r="M272" s="65"/>
      <c r="N272" s="65"/>
      <c r="O272" s="65"/>
      <c r="P272" s="65"/>
      <c r="Q272" s="65"/>
      <c r="R272" s="65"/>
      <c r="S272" s="65"/>
      <c r="T272" s="65"/>
      <c r="U272" s="65"/>
      <c r="V272" s="65"/>
      <c r="W272" s="65"/>
      <c r="X272" s="65"/>
      <c r="Y272" s="65"/>
      <c r="Z272" s="65"/>
    </row>
    <row r="273" spans="12:26" ht="12.75">
      <c r="L273" s="65"/>
      <c r="M273" s="65"/>
      <c r="N273" s="65"/>
      <c r="O273" s="65"/>
      <c r="P273" s="65"/>
      <c r="Q273" s="65"/>
      <c r="R273" s="65"/>
      <c r="S273" s="65"/>
      <c r="T273" s="65"/>
      <c r="U273" s="65"/>
      <c r="V273" s="65"/>
      <c r="W273" s="65"/>
      <c r="X273" s="65"/>
      <c r="Y273" s="65"/>
      <c r="Z273" s="65"/>
    </row>
    <row r="274" spans="12:26" ht="12.75">
      <c r="L274" s="65"/>
      <c r="M274" s="65"/>
      <c r="N274" s="65"/>
      <c r="O274" s="65"/>
      <c r="P274" s="65"/>
      <c r="Q274" s="65"/>
      <c r="R274" s="65"/>
      <c r="S274" s="65"/>
      <c r="T274" s="65"/>
      <c r="U274" s="65"/>
      <c r="V274" s="65"/>
      <c r="W274" s="65"/>
      <c r="X274" s="65"/>
      <c r="Y274" s="65"/>
      <c r="Z274" s="65"/>
    </row>
    <row r="275" spans="12:26" ht="12.75">
      <c r="L275" s="65"/>
      <c r="M275" s="65"/>
      <c r="N275" s="65"/>
      <c r="O275" s="65"/>
      <c r="P275" s="65"/>
      <c r="Q275" s="65"/>
      <c r="R275" s="65"/>
      <c r="S275" s="65"/>
      <c r="T275" s="65"/>
      <c r="U275" s="65"/>
      <c r="V275" s="65"/>
      <c r="W275" s="65"/>
      <c r="X275" s="65"/>
      <c r="Y275" s="65"/>
      <c r="Z275" s="65"/>
    </row>
    <row r="276" spans="12:26" ht="12.75">
      <c r="L276" s="65"/>
      <c r="M276" s="65"/>
      <c r="N276" s="65"/>
      <c r="O276" s="65"/>
      <c r="P276" s="65"/>
      <c r="Q276" s="65"/>
      <c r="R276" s="65"/>
      <c r="S276" s="65"/>
      <c r="T276" s="65"/>
      <c r="U276" s="65"/>
      <c r="V276" s="65"/>
      <c r="W276" s="65"/>
      <c r="X276" s="65"/>
      <c r="Y276" s="65"/>
      <c r="Z276" s="65"/>
    </row>
    <row r="277" spans="12:26" ht="12.75">
      <c r="L277" s="65"/>
      <c r="M277" s="65"/>
      <c r="N277" s="65"/>
      <c r="O277" s="65"/>
      <c r="P277" s="65"/>
      <c r="Q277" s="65"/>
      <c r="R277" s="65"/>
      <c r="S277" s="65"/>
      <c r="T277" s="65"/>
      <c r="U277" s="65"/>
      <c r="V277" s="65"/>
      <c r="W277" s="65"/>
      <c r="X277" s="65"/>
      <c r="Y277" s="65"/>
      <c r="Z277" s="65"/>
    </row>
    <row r="278" spans="12:26" ht="12.75">
      <c r="L278" s="65"/>
      <c r="M278" s="65"/>
      <c r="N278" s="65"/>
      <c r="O278" s="65"/>
      <c r="P278" s="65"/>
      <c r="Q278" s="65"/>
      <c r="R278" s="65"/>
      <c r="S278" s="65"/>
      <c r="T278" s="65"/>
      <c r="U278" s="65"/>
      <c r="V278" s="65"/>
      <c r="W278" s="65"/>
      <c r="X278" s="65"/>
      <c r="Y278" s="65"/>
      <c r="Z278" s="65"/>
    </row>
    <row r="279" spans="12:26" ht="12.75">
      <c r="L279" s="65"/>
      <c r="M279" s="65"/>
      <c r="N279" s="65"/>
      <c r="O279" s="65"/>
      <c r="P279" s="65"/>
      <c r="Q279" s="65"/>
      <c r="R279" s="65"/>
      <c r="S279" s="65"/>
      <c r="T279" s="65"/>
      <c r="U279" s="65"/>
      <c r="V279" s="65"/>
      <c r="W279" s="65"/>
      <c r="X279" s="65"/>
      <c r="Y279" s="65"/>
      <c r="Z279" s="65"/>
    </row>
    <row r="280" spans="12:26" ht="12.75">
      <c r="L280" s="65"/>
      <c r="M280" s="65"/>
      <c r="N280" s="65"/>
      <c r="O280" s="65"/>
      <c r="P280" s="65"/>
      <c r="Q280" s="65"/>
      <c r="R280" s="65"/>
      <c r="S280" s="65"/>
      <c r="T280" s="65"/>
      <c r="U280" s="65"/>
      <c r="V280" s="65"/>
      <c r="W280" s="65"/>
      <c r="X280" s="65"/>
      <c r="Y280" s="65"/>
      <c r="Z280" s="65"/>
    </row>
    <row r="281" spans="12:26" ht="12.75">
      <c r="L281" s="65"/>
      <c r="M281" s="65"/>
      <c r="N281" s="65"/>
      <c r="O281" s="65"/>
      <c r="P281" s="65"/>
      <c r="Q281" s="65"/>
      <c r="R281" s="65"/>
      <c r="S281" s="65"/>
      <c r="T281" s="65"/>
      <c r="U281" s="65"/>
      <c r="V281" s="65"/>
      <c r="W281" s="65"/>
      <c r="X281" s="65"/>
      <c r="Y281" s="65"/>
      <c r="Z281" s="65"/>
    </row>
    <row r="282" spans="12:26" ht="12.75">
      <c r="L282" s="65"/>
      <c r="M282" s="65"/>
      <c r="N282" s="65"/>
      <c r="O282" s="65"/>
      <c r="P282" s="65"/>
      <c r="Q282" s="65"/>
      <c r="R282" s="65"/>
      <c r="S282" s="65"/>
      <c r="T282" s="65"/>
      <c r="U282" s="65"/>
      <c r="V282" s="65"/>
      <c r="W282" s="65"/>
      <c r="X282" s="65"/>
      <c r="Y282" s="65"/>
      <c r="Z282" s="65"/>
    </row>
    <row r="283" spans="12:26" ht="12.75">
      <c r="L283" s="65"/>
      <c r="M283" s="65"/>
      <c r="N283" s="65"/>
      <c r="O283" s="65"/>
      <c r="P283" s="65"/>
      <c r="Q283" s="65"/>
      <c r="R283" s="65"/>
      <c r="S283" s="65"/>
      <c r="T283" s="65"/>
      <c r="U283" s="65"/>
      <c r="V283" s="65"/>
      <c r="W283" s="65"/>
      <c r="X283" s="65"/>
      <c r="Y283" s="65"/>
      <c r="Z283" s="65"/>
    </row>
    <row r="284" spans="12:26" ht="12.75">
      <c r="L284" s="65"/>
      <c r="M284" s="65"/>
      <c r="N284" s="65"/>
      <c r="O284" s="65"/>
      <c r="P284" s="65"/>
      <c r="Q284" s="65"/>
      <c r="R284" s="65"/>
      <c r="S284" s="65"/>
      <c r="T284" s="65"/>
      <c r="U284" s="65"/>
      <c r="V284" s="65"/>
      <c r="W284" s="65"/>
      <c r="X284" s="65"/>
      <c r="Y284" s="65"/>
      <c r="Z284" s="65"/>
    </row>
    <row r="285" spans="12:26" ht="12.75">
      <c r="L285" s="65"/>
      <c r="M285" s="65"/>
      <c r="N285" s="65"/>
      <c r="O285" s="65"/>
      <c r="P285" s="65"/>
      <c r="Q285" s="65"/>
      <c r="R285" s="65"/>
      <c r="S285" s="65"/>
      <c r="T285" s="65"/>
      <c r="U285" s="65"/>
      <c r="V285" s="65"/>
      <c r="W285" s="65"/>
      <c r="X285" s="65"/>
      <c r="Y285" s="65"/>
      <c r="Z285" s="65"/>
    </row>
    <row r="286" spans="12:26" ht="12.75">
      <c r="L286" s="65"/>
      <c r="M286" s="65"/>
      <c r="N286" s="65"/>
      <c r="O286" s="65"/>
      <c r="P286" s="65"/>
      <c r="Q286" s="65"/>
      <c r="R286" s="65"/>
      <c r="S286" s="65"/>
      <c r="T286" s="65"/>
      <c r="U286" s="65"/>
      <c r="V286" s="65"/>
      <c r="W286" s="65"/>
      <c r="X286" s="65"/>
      <c r="Y286" s="65"/>
      <c r="Z286" s="65"/>
    </row>
    <row r="287" spans="12:26" ht="12.75">
      <c r="L287" s="65"/>
      <c r="M287" s="65"/>
      <c r="N287" s="65"/>
      <c r="O287" s="65"/>
      <c r="P287" s="65"/>
      <c r="Q287" s="65"/>
      <c r="R287" s="65"/>
      <c r="S287" s="65"/>
      <c r="T287" s="65"/>
      <c r="U287" s="65"/>
      <c r="V287" s="65"/>
      <c r="W287" s="65"/>
      <c r="X287" s="65"/>
      <c r="Y287" s="65"/>
      <c r="Z287" s="65"/>
    </row>
    <row r="288" spans="12:26" ht="12.75">
      <c r="L288" s="65"/>
      <c r="M288" s="65"/>
      <c r="N288" s="65"/>
      <c r="O288" s="65"/>
      <c r="P288" s="65"/>
      <c r="Q288" s="65"/>
      <c r="R288" s="65"/>
      <c r="S288" s="65"/>
      <c r="T288" s="65"/>
      <c r="U288" s="65"/>
      <c r="V288" s="65"/>
      <c r="W288" s="65"/>
      <c r="X288" s="65"/>
      <c r="Y288" s="65"/>
      <c r="Z288" s="65"/>
    </row>
    <row r="289" spans="12:26" ht="12.75">
      <c r="L289" s="65"/>
      <c r="M289" s="65"/>
      <c r="N289" s="65"/>
      <c r="O289" s="65"/>
      <c r="P289" s="65"/>
      <c r="Q289" s="65"/>
      <c r="R289" s="65"/>
      <c r="S289" s="65"/>
      <c r="T289" s="65"/>
      <c r="U289" s="65"/>
      <c r="V289" s="65"/>
      <c r="W289" s="65"/>
      <c r="X289" s="65"/>
      <c r="Y289" s="65"/>
      <c r="Z289" s="65"/>
    </row>
    <row r="290" spans="12:26" ht="12.75">
      <c r="L290" s="65"/>
      <c r="M290" s="65"/>
      <c r="N290" s="65"/>
      <c r="O290" s="65"/>
      <c r="P290" s="65"/>
      <c r="Q290" s="65"/>
      <c r="R290" s="65"/>
      <c r="S290" s="65"/>
      <c r="T290" s="65"/>
      <c r="U290" s="65"/>
      <c r="V290" s="65"/>
      <c r="W290" s="65"/>
      <c r="X290" s="65"/>
      <c r="Y290" s="65"/>
      <c r="Z290" s="65"/>
    </row>
    <row r="291" spans="12:26" ht="12.75">
      <c r="L291" s="65"/>
      <c r="M291" s="65"/>
      <c r="N291" s="65"/>
      <c r="O291" s="65"/>
      <c r="P291" s="65"/>
      <c r="Q291" s="65"/>
      <c r="R291" s="65"/>
      <c r="S291" s="65"/>
      <c r="T291" s="65"/>
      <c r="U291" s="65"/>
      <c r="V291" s="65"/>
      <c r="W291" s="65"/>
      <c r="X291" s="65"/>
      <c r="Y291" s="65"/>
      <c r="Z291" s="65"/>
    </row>
    <row r="292" spans="12:26" ht="12.75">
      <c r="L292" s="65"/>
      <c r="M292" s="65"/>
      <c r="N292" s="65"/>
      <c r="O292" s="65"/>
      <c r="P292" s="65"/>
      <c r="Q292" s="65"/>
      <c r="R292" s="65"/>
      <c r="S292" s="65"/>
      <c r="T292" s="65"/>
      <c r="U292" s="65"/>
      <c r="V292" s="65"/>
      <c r="W292" s="65"/>
      <c r="X292" s="65"/>
      <c r="Y292" s="65"/>
      <c r="Z292" s="65"/>
    </row>
    <row r="293" spans="12:26" ht="12.75">
      <c r="L293" s="65"/>
      <c r="M293" s="65"/>
      <c r="N293" s="65"/>
      <c r="O293" s="65"/>
      <c r="P293" s="65"/>
      <c r="Q293" s="65"/>
      <c r="R293" s="65"/>
      <c r="S293" s="65"/>
      <c r="T293" s="65"/>
      <c r="U293" s="65"/>
      <c r="V293" s="65"/>
      <c r="W293" s="65"/>
      <c r="X293" s="65"/>
      <c r="Y293" s="65"/>
      <c r="Z293" s="65"/>
    </row>
    <row r="294" spans="12:26" ht="12.75">
      <c r="L294" s="65"/>
      <c r="M294" s="65"/>
      <c r="N294" s="65"/>
      <c r="O294" s="65"/>
      <c r="P294" s="65"/>
      <c r="Q294" s="65"/>
      <c r="R294" s="65"/>
      <c r="S294" s="65"/>
      <c r="T294" s="65"/>
      <c r="U294" s="65"/>
      <c r="V294" s="65"/>
      <c r="W294" s="65"/>
      <c r="X294" s="65"/>
      <c r="Y294" s="65"/>
      <c r="Z294" s="65"/>
    </row>
    <row r="295" spans="12:26" ht="12.75">
      <c r="L295" s="65"/>
      <c r="M295" s="65"/>
      <c r="N295" s="65"/>
      <c r="O295" s="65"/>
      <c r="P295" s="65"/>
      <c r="Q295" s="65"/>
      <c r="R295" s="65"/>
      <c r="S295" s="65"/>
      <c r="T295" s="65"/>
      <c r="U295" s="65"/>
      <c r="V295" s="65"/>
      <c r="W295" s="65"/>
      <c r="X295" s="65"/>
      <c r="Y295" s="65"/>
      <c r="Z295" s="65"/>
    </row>
    <row r="296" spans="12:26" ht="12.75">
      <c r="L296" s="65"/>
      <c r="M296" s="65"/>
      <c r="N296" s="65"/>
      <c r="O296" s="65"/>
      <c r="P296" s="65"/>
      <c r="Q296" s="65"/>
      <c r="R296" s="65"/>
      <c r="S296" s="65"/>
      <c r="T296" s="65"/>
      <c r="U296" s="65"/>
      <c r="V296" s="65"/>
      <c r="W296" s="65"/>
      <c r="X296" s="65"/>
      <c r="Y296" s="65"/>
      <c r="Z296" s="65"/>
    </row>
    <row r="297" spans="12:26" ht="12.75">
      <c r="L297" s="65"/>
      <c r="M297" s="65"/>
      <c r="N297" s="65"/>
      <c r="O297" s="65"/>
      <c r="P297" s="65"/>
      <c r="Q297" s="65"/>
      <c r="R297" s="65"/>
      <c r="S297" s="65"/>
      <c r="T297" s="65"/>
      <c r="U297" s="65"/>
      <c r="V297" s="65"/>
      <c r="W297" s="65"/>
      <c r="X297" s="65"/>
      <c r="Y297" s="65"/>
      <c r="Z297" s="65"/>
    </row>
    <row r="298" spans="12:26" ht="12.75">
      <c r="L298" s="65"/>
      <c r="M298" s="65"/>
      <c r="N298" s="65"/>
      <c r="O298" s="65"/>
      <c r="P298" s="65"/>
      <c r="Q298" s="65"/>
      <c r="R298" s="65"/>
      <c r="S298" s="65"/>
      <c r="T298" s="65"/>
      <c r="U298" s="65"/>
      <c r="V298" s="65"/>
      <c r="W298" s="65"/>
      <c r="X298" s="65"/>
      <c r="Y298" s="65"/>
      <c r="Z298" s="65"/>
    </row>
    <row r="299" spans="12:26" ht="12.75">
      <c r="L299" s="65"/>
      <c r="M299" s="65"/>
      <c r="N299" s="65"/>
      <c r="O299" s="65"/>
      <c r="P299" s="65"/>
      <c r="Q299" s="65"/>
      <c r="R299" s="65"/>
      <c r="S299" s="65"/>
      <c r="T299" s="65"/>
      <c r="U299" s="65"/>
      <c r="V299" s="65"/>
      <c r="W299" s="65"/>
      <c r="X299" s="65"/>
      <c r="Y299" s="65"/>
      <c r="Z299" s="65"/>
    </row>
    <row r="300" spans="12:26" ht="12.75">
      <c r="L300" s="65"/>
      <c r="M300" s="65"/>
      <c r="N300" s="65"/>
      <c r="O300" s="65"/>
      <c r="P300" s="65"/>
      <c r="Q300" s="65"/>
      <c r="R300" s="65"/>
      <c r="S300" s="65"/>
      <c r="T300" s="65"/>
      <c r="U300" s="65"/>
      <c r="V300" s="65"/>
      <c r="W300" s="65"/>
      <c r="X300" s="65"/>
      <c r="Y300" s="65"/>
      <c r="Z300" s="65"/>
    </row>
    <row r="301" spans="12:26" ht="12.75">
      <c r="L301" s="65"/>
      <c r="M301" s="65"/>
      <c r="N301" s="65"/>
      <c r="O301" s="65"/>
      <c r="P301" s="65"/>
      <c r="Q301" s="65"/>
      <c r="R301" s="65"/>
      <c r="S301" s="65"/>
      <c r="T301" s="65"/>
      <c r="U301" s="65"/>
      <c r="V301" s="65"/>
      <c r="W301" s="65"/>
      <c r="X301" s="65"/>
      <c r="Y301" s="65"/>
      <c r="Z301" s="65"/>
    </row>
    <row r="302" spans="12:26" ht="12.75">
      <c r="L302" s="65"/>
      <c r="M302" s="65"/>
      <c r="N302" s="65"/>
      <c r="O302" s="65"/>
      <c r="P302" s="65"/>
      <c r="Q302" s="65"/>
      <c r="R302" s="65"/>
      <c r="S302" s="65"/>
      <c r="T302" s="65"/>
      <c r="U302" s="65"/>
      <c r="V302" s="65"/>
      <c r="W302" s="65"/>
      <c r="X302" s="65"/>
      <c r="Y302" s="65"/>
      <c r="Z302" s="65"/>
    </row>
    <row r="303" spans="12:26" ht="12.75">
      <c r="L303" s="65"/>
      <c r="M303" s="65"/>
      <c r="N303" s="65"/>
      <c r="O303" s="65"/>
      <c r="P303" s="65"/>
      <c r="Q303" s="65"/>
      <c r="R303" s="65"/>
      <c r="S303" s="65"/>
      <c r="T303" s="65"/>
      <c r="U303" s="65"/>
      <c r="V303" s="65"/>
      <c r="W303" s="65"/>
      <c r="X303" s="65"/>
      <c r="Y303" s="65"/>
      <c r="Z303" s="65"/>
    </row>
    <row r="304" spans="12:26" ht="12.75">
      <c r="L304" s="65"/>
      <c r="M304" s="65"/>
      <c r="N304" s="65"/>
      <c r="O304" s="65"/>
      <c r="P304" s="65"/>
      <c r="Q304" s="65"/>
      <c r="R304" s="65"/>
      <c r="S304" s="65"/>
      <c r="T304" s="65"/>
      <c r="U304" s="65"/>
      <c r="V304" s="65"/>
      <c r="W304" s="65"/>
      <c r="X304" s="65"/>
      <c r="Y304" s="65"/>
      <c r="Z304" s="65"/>
    </row>
    <row r="305" spans="12:26" ht="12.75">
      <c r="L305" s="65"/>
      <c r="M305" s="65"/>
      <c r="N305" s="65"/>
      <c r="O305" s="65"/>
      <c r="P305" s="65"/>
      <c r="Q305" s="65"/>
      <c r="R305" s="65"/>
      <c r="S305" s="65"/>
      <c r="T305" s="65"/>
      <c r="U305" s="65"/>
      <c r="V305" s="65"/>
      <c r="W305" s="65"/>
      <c r="X305" s="65"/>
      <c r="Y305" s="65"/>
      <c r="Z305" s="65"/>
    </row>
    <row r="306" spans="12:26" ht="12.75">
      <c r="L306" s="65"/>
      <c r="M306" s="65"/>
      <c r="N306" s="65"/>
      <c r="O306" s="65"/>
      <c r="P306" s="65"/>
      <c r="Q306" s="65"/>
      <c r="R306" s="65"/>
      <c r="S306" s="65"/>
      <c r="T306" s="65"/>
      <c r="U306" s="65"/>
      <c r="V306" s="65"/>
      <c r="W306" s="65"/>
      <c r="X306" s="65"/>
      <c r="Y306" s="65"/>
      <c r="Z306" s="65"/>
    </row>
    <row r="307" spans="12:26" ht="12.75">
      <c r="L307" s="65"/>
      <c r="M307" s="65"/>
      <c r="N307" s="65"/>
      <c r="O307" s="65"/>
      <c r="P307" s="65"/>
      <c r="Q307" s="65"/>
      <c r="R307" s="65"/>
      <c r="S307" s="65"/>
      <c r="T307" s="65"/>
      <c r="U307" s="65"/>
      <c r="V307" s="65"/>
      <c r="W307" s="65"/>
      <c r="X307" s="65"/>
      <c r="Y307" s="65"/>
      <c r="Z307" s="65"/>
    </row>
    <row r="308" spans="12:26" ht="12.75">
      <c r="L308" s="65"/>
      <c r="M308" s="65"/>
      <c r="N308" s="65"/>
      <c r="O308" s="65"/>
      <c r="P308" s="65"/>
      <c r="Q308" s="65"/>
      <c r="R308" s="65"/>
      <c r="S308" s="65"/>
      <c r="T308" s="65"/>
      <c r="U308" s="65"/>
      <c r="V308" s="65"/>
      <c r="W308" s="65"/>
      <c r="X308" s="65"/>
      <c r="Y308" s="65"/>
      <c r="Z308" s="65"/>
    </row>
    <row r="309" spans="12:26" ht="12.75">
      <c r="L309" s="65"/>
      <c r="M309" s="65"/>
      <c r="N309" s="65"/>
      <c r="O309" s="65"/>
      <c r="P309" s="65"/>
      <c r="Q309" s="65"/>
      <c r="R309" s="65"/>
      <c r="S309" s="65"/>
      <c r="T309" s="65"/>
      <c r="U309" s="65"/>
      <c r="V309" s="65"/>
      <c r="W309" s="65"/>
      <c r="X309" s="65"/>
      <c r="Y309" s="65"/>
      <c r="Z309" s="65"/>
    </row>
    <row r="310" spans="12:26" ht="12.75">
      <c r="L310" s="65"/>
      <c r="M310" s="65"/>
      <c r="N310" s="65"/>
      <c r="O310" s="65"/>
      <c r="P310" s="65"/>
      <c r="Q310" s="65"/>
      <c r="R310" s="65"/>
      <c r="S310" s="65"/>
      <c r="T310" s="65"/>
      <c r="U310" s="65"/>
      <c r="V310" s="65"/>
      <c r="W310" s="65"/>
      <c r="X310" s="65"/>
      <c r="Y310" s="65"/>
      <c r="Z310" s="65"/>
    </row>
    <row r="311" spans="12:26" ht="12.75">
      <c r="L311" s="65"/>
      <c r="M311" s="65"/>
      <c r="N311" s="65"/>
      <c r="O311" s="65"/>
      <c r="P311" s="65"/>
      <c r="Q311" s="65"/>
      <c r="R311" s="65"/>
      <c r="S311" s="65"/>
      <c r="T311" s="65"/>
      <c r="U311" s="65"/>
      <c r="V311" s="65"/>
      <c r="W311" s="65"/>
      <c r="X311" s="65"/>
      <c r="Y311" s="65"/>
      <c r="Z311" s="65"/>
    </row>
    <row r="312" spans="12:26" ht="12.75">
      <c r="L312" s="65"/>
      <c r="M312" s="65"/>
      <c r="N312" s="65"/>
      <c r="O312" s="65"/>
      <c r="P312" s="65"/>
      <c r="Q312" s="65"/>
      <c r="R312" s="65"/>
      <c r="S312" s="65"/>
      <c r="T312" s="65"/>
      <c r="U312" s="65"/>
      <c r="V312" s="65"/>
      <c r="W312" s="65"/>
      <c r="X312" s="65"/>
      <c r="Y312" s="65"/>
      <c r="Z312" s="65"/>
    </row>
    <row r="313" spans="12:26" ht="12.75">
      <c r="L313" s="65"/>
      <c r="M313" s="65"/>
      <c r="N313" s="65"/>
      <c r="O313" s="65"/>
      <c r="P313" s="65"/>
      <c r="Q313" s="65"/>
      <c r="R313" s="65"/>
      <c r="S313" s="65"/>
      <c r="T313" s="65"/>
      <c r="U313" s="65"/>
      <c r="V313" s="65"/>
      <c r="W313" s="65"/>
      <c r="X313" s="65"/>
      <c r="Y313" s="65"/>
      <c r="Z313" s="65"/>
    </row>
    <row r="314" spans="12:26" ht="12.75">
      <c r="L314" s="65"/>
      <c r="M314" s="65"/>
      <c r="N314" s="65"/>
      <c r="O314" s="65"/>
      <c r="P314" s="65"/>
      <c r="Q314" s="65"/>
      <c r="R314" s="65"/>
      <c r="S314" s="65"/>
      <c r="T314" s="65"/>
      <c r="U314" s="65"/>
      <c r="V314" s="65"/>
      <c r="W314" s="65"/>
      <c r="X314" s="65"/>
      <c r="Y314" s="65"/>
      <c r="Z314" s="65"/>
    </row>
    <row r="315" spans="12:26" ht="12.75">
      <c r="L315" s="65"/>
      <c r="M315" s="65"/>
      <c r="N315" s="65"/>
      <c r="O315" s="65"/>
      <c r="P315" s="65"/>
      <c r="Q315" s="65"/>
      <c r="R315" s="65"/>
      <c r="S315" s="65"/>
      <c r="T315" s="65"/>
      <c r="U315" s="65"/>
      <c r="V315" s="65"/>
      <c r="W315" s="65"/>
      <c r="X315" s="65"/>
      <c r="Y315" s="65"/>
      <c r="Z315" s="65"/>
    </row>
    <row r="316" spans="12:26" ht="12.75">
      <c r="L316" s="65"/>
      <c r="M316" s="65"/>
      <c r="N316" s="65"/>
      <c r="O316" s="65"/>
      <c r="P316" s="65"/>
      <c r="Q316" s="65"/>
      <c r="R316" s="65"/>
      <c r="S316" s="65"/>
      <c r="T316" s="65"/>
      <c r="U316" s="65"/>
      <c r="V316" s="65"/>
      <c r="W316" s="65"/>
      <c r="X316" s="65"/>
      <c r="Y316" s="65"/>
      <c r="Z316" s="65"/>
    </row>
    <row r="317" spans="12:26" ht="12.75">
      <c r="L317" s="65"/>
      <c r="M317" s="65"/>
      <c r="N317" s="65"/>
      <c r="O317" s="65"/>
      <c r="P317" s="65"/>
      <c r="Q317" s="65"/>
      <c r="R317" s="65"/>
      <c r="S317" s="65"/>
      <c r="T317" s="65"/>
      <c r="U317" s="65"/>
      <c r="V317" s="65"/>
      <c r="W317" s="65"/>
      <c r="X317" s="65"/>
      <c r="Y317" s="65"/>
      <c r="Z317" s="65"/>
    </row>
    <row r="318" spans="12:26" ht="12.75">
      <c r="L318" s="65"/>
      <c r="M318" s="65"/>
      <c r="N318" s="65"/>
      <c r="O318" s="65"/>
      <c r="P318" s="65"/>
      <c r="Q318" s="65"/>
      <c r="R318" s="65"/>
      <c r="S318" s="65"/>
      <c r="T318" s="65"/>
      <c r="U318" s="65"/>
      <c r="V318" s="65"/>
      <c r="W318" s="65"/>
      <c r="X318" s="65"/>
      <c r="Y318" s="65"/>
      <c r="Z318" s="65"/>
    </row>
    <row r="319" spans="12:26" ht="12.75">
      <c r="L319" s="65"/>
      <c r="M319" s="65"/>
      <c r="N319" s="65"/>
      <c r="O319" s="65"/>
      <c r="P319" s="65"/>
      <c r="Q319" s="65"/>
      <c r="R319" s="65"/>
      <c r="S319" s="65"/>
      <c r="T319" s="65"/>
      <c r="U319" s="65"/>
      <c r="V319" s="65"/>
      <c r="W319" s="65"/>
      <c r="X319" s="65"/>
      <c r="Y319" s="65"/>
      <c r="Z319" s="65"/>
    </row>
    <row r="320" spans="12:26" ht="12.75">
      <c r="L320" s="65"/>
      <c r="M320" s="65"/>
      <c r="N320" s="65"/>
      <c r="O320" s="65"/>
      <c r="P320" s="65"/>
      <c r="Q320" s="65"/>
      <c r="R320" s="65"/>
      <c r="S320" s="65"/>
      <c r="T320" s="65"/>
      <c r="U320" s="65"/>
      <c r="V320" s="65"/>
      <c r="W320" s="65"/>
      <c r="X320" s="65"/>
      <c r="Y320" s="65"/>
      <c r="Z320" s="65"/>
    </row>
    <row r="321" spans="12:26" ht="12.75">
      <c r="L321" s="65"/>
      <c r="M321" s="65"/>
      <c r="N321" s="65"/>
      <c r="O321" s="65"/>
      <c r="P321" s="65"/>
      <c r="Q321" s="65"/>
      <c r="R321" s="65"/>
      <c r="S321" s="65"/>
      <c r="T321" s="65"/>
      <c r="U321" s="65"/>
      <c r="V321" s="65"/>
      <c r="W321" s="65"/>
      <c r="X321" s="65"/>
      <c r="Y321" s="65"/>
      <c r="Z321" s="65"/>
    </row>
    <row r="322" spans="12:26" ht="12.75">
      <c r="L322" s="65"/>
      <c r="M322" s="65"/>
      <c r="N322" s="65"/>
      <c r="O322" s="65"/>
      <c r="P322" s="65"/>
      <c r="Q322" s="65"/>
      <c r="R322" s="65"/>
      <c r="S322" s="65"/>
      <c r="T322" s="65"/>
      <c r="U322" s="65"/>
      <c r="V322" s="65"/>
      <c r="W322" s="65"/>
      <c r="X322" s="65"/>
      <c r="Y322" s="65"/>
      <c r="Z322" s="65"/>
    </row>
    <row r="323" spans="12:26" ht="12.75">
      <c r="L323" s="65"/>
      <c r="M323" s="65"/>
      <c r="N323" s="65"/>
      <c r="O323" s="65"/>
      <c r="P323" s="65"/>
      <c r="Q323" s="65"/>
      <c r="R323" s="65"/>
      <c r="S323" s="65"/>
      <c r="T323" s="65"/>
      <c r="U323" s="65"/>
      <c r="V323" s="65"/>
      <c r="W323" s="65"/>
      <c r="X323" s="65"/>
      <c r="Y323" s="65"/>
      <c r="Z323" s="65"/>
    </row>
    <row r="324" spans="12:26" ht="12.75">
      <c r="L324" s="65"/>
      <c r="M324" s="65"/>
      <c r="N324" s="65"/>
      <c r="O324" s="65"/>
      <c r="P324" s="65"/>
      <c r="Q324" s="65"/>
      <c r="R324" s="65"/>
      <c r="S324" s="65"/>
      <c r="T324" s="65"/>
      <c r="U324" s="65"/>
      <c r="V324" s="65"/>
      <c r="W324" s="65"/>
      <c r="X324" s="65"/>
      <c r="Y324" s="65"/>
      <c r="Z324" s="65"/>
    </row>
    <row r="325" spans="12:26" ht="12.75">
      <c r="L325" s="65"/>
      <c r="M325" s="65"/>
      <c r="N325" s="65"/>
      <c r="O325" s="65"/>
      <c r="P325" s="65"/>
      <c r="Q325" s="65"/>
      <c r="R325" s="65"/>
      <c r="S325" s="65"/>
      <c r="T325" s="65"/>
      <c r="U325" s="65"/>
      <c r="V325" s="65"/>
      <c r="W325" s="65"/>
      <c r="X325" s="65"/>
      <c r="Y325" s="65"/>
      <c r="Z325" s="65"/>
    </row>
    <row r="326" spans="12:26" ht="12.75">
      <c r="L326" s="65"/>
      <c r="M326" s="65"/>
      <c r="N326" s="65"/>
      <c r="O326" s="65"/>
      <c r="P326" s="65"/>
      <c r="Q326" s="65"/>
      <c r="R326" s="65"/>
      <c r="S326" s="65"/>
      <c r="T326" s="65"/>
      <c r="U326" s="65"/>
      <c r="V326" s="65"/>
      <c r="W326" s="65"/>
      <c r="X326" s="65"/>
      <c r="Y326" s="65"/>
      <c r="Z326" s="65"/>
    </row>
    <row r="327" spans="12:26" ht="12.75">
      <c r="L327" s="65"/>
      <c r="M327" s="65"/>
      <c r="N327" s="65"/>
      <c r="O327" s="65"/>
      <c r="P327" s="65"/>
      <c r="Q327" s="65"/>
      <c r="R327" s="65"/>
      <c r="S327" s="65"/>
      <c r="T327" s="65"/>
      <c r="U327" s="65"/>
      <c r="V327" s="65"/>
      <c r="W327" s="65"/>
      <c r="X327" s="65"/>
      <c r="Y327" s="65"/>
      <c r="Z327" s="65"/>
    </row>
    <row r="328" spans="12:26" ht="12.75">
      <c r="L328" s="65"/>
      <c r="M328" s="65"/>
      <c r="N328" s="65"/>
      <c r="O328" s="65"/>
      <c r="P328" s="65"/>
      <c r="Q328" s="65"/>
      <c r="R328" s="65"/>
      <c r="S328" s="65"/>
      <c r="T328" s="65"/>
      <c r="U328" s="65"/>
      <c r="V328" s="65"/>
      <c r="W328" s="65"/>
      <c r="X328" s="65"/>
      <c r="Y328" s="65"/>
      <c r="Z328" s="65"/>
    </row>
    <row r="329" spans="12:26" ht="12.75">
      <c r="L329" s="65"/>
      <c r="M329" s="65"/>
      <c r="N329" s="65"/>
      <c r="O329" s="65"/>
      <c r="P329" s="65"/>
      <c r="Q329" s="65"/>
      <c r="R329" s="65"/>
      <c r="S329" s="65"/>
      <c r="T329" s="65"/>
      <c r="U329" s="65"/>
      <c r="V329" s="65"/>
      <c r="W329" s="65"/>
      <c r="X329" s="65"/>
      <c r="Y329" s="65"/>
      <c r="Z329" s="65"/>
    </row>
    <row r="330" spans="12:26" ht="12.75">
      <c r="L330" s="65"/>
      <c r="M330" s="65"/>
      <c r="N330" s="65"/>
      <c r="O330" s="65"/>
      <c r="P330" s="65"/>
      <c r="Q330" s="65"/>
      <c r="R330" s="65"/>
      <c r="S330" s="65"/>
      <c r="T330" s="65"/>
      <c r="U330" s="65"/>
      <c r="V330" s="65"/>
      <c r="W330" s="65"/>
      <c r="X330" s="65"/>
      <c r="Y330" s="65"/>
      <c r="Z330" s="65"/>
    </row>
    <row r="331" spans="12:26" ht="12.75">
      <c r="L331" s="65"/>
      <c r="M331" s="65"/>
      <c r="N331" s="65"/>
      <c r="O331" s="65"/>
      <c r="P331" s="65"/>
      <c r="Q331" s="65"/>
      <c r="R331" s="65"/>
      <c r="S331" s="65"/>
      <c r="T331" s="65"/>
      <c r="U331" s="65"/>
      <c r="V331" s="65"/>
      <c r="W331" s="65"/>
      <c r="X331" s="65"/>
      <c r="Y331" s="65"/>
      <c r="Z331" s="65"/>
    </row>
    <row r="332" spans="12:26" ht="12.75">
      <c r="L332" s="65"/>
      <c r="M332" s="65"/>
      <c r="N332" s="65"/>
      <c r="O332" s="65"/>
      <c r="P332" s="65"/>
      <c r="Q332" s="65"/>
      <c r="R332" s="65"/>
      <c r="S332" s="65"/>
      <c r="T332" s="65"/>
      <c r="U332" s="65"/>
      <c r="V332" s="65"/>
      <c r="W332" s="65"/>
      <c r="X332" s="65"/>
      <c r="Y332" s="65"/>
      <c r="Z332" s="65"/>
    </row>
    <row r="333" spans="12:26" ht="12.75">
      <c r="L333" s="65"/>
      <c r="M333" s="65"/>
      <c r="N333" s="65"/>
      <c r="O333" s="65"/>
      <c r="P333" s="65"/>
      <c r="Q333" s="65"/>
      <c r="R333" s="65"/>
      <c r="S333" s="65"/>
      <c r="T333" s="65"/>
      <c r="U333" s="65"/>
      <c r="V333" s="65"/>
      <c r="W333" s="65"/>
      <c r="X333" s="65"/>
      <c r="Y333" s="65"/>
      <c r="Z333" s="65"/>
    </row>
    <row r="334" spans="12:26" ht="12.75">
      <c r="L334" s="65"/>
      <c r="M334" s="65"/>
      <c r="N334" s="65"/>
      <c r="O334" s="65"/>
      <c r="P334" s="65"/>
      <c r="Q334" s="65"/>
      <c r="R334" s="65"/>
      <c r="S334" s="65"/>
      <c r="T334" s="65"/>
      <c r="U334" s="65"/>
      <c r="V334" s="65"/>
      <c r="W334" s="65"/>
      <c r="X334" s="65"/>
      <c r="Y334" s="65"/>
      <c r="Z334" s="65"/>
    </row>
    <row r="335" spans="12:26" ht="12.75">
      <c r="L335" s="65"/>
      <c r="M335" s="65"/>
      <c r="N335" s="65"/>
      <c r="O335" s="65"/>
      <c r="P335" s="65"/>
      <c r="Q335" s="65"/>
      <c r="R335" s="65"/>
      <c r="S335" s="65"/>
      <c r="T335" s="65"/>
      <c r="U335" s="65"/>
      <c r="V335" s="65"/>
      <c r="W335" s="65"/>
      <c r="X335" s="65"/>
      <c r="Y335" s="65"/>
      <c r="Z335" s="65"/>
    </row>
    <row r="336" spans="12:26" ht="12.75">
      <c r="L336" s="65"/>
      <c r="M336" s="65"/>
      <c r="N336" s="65"/>
      <c r="O336" s="65"/>
      <c r="P336" s="65"/>
      <c r="Q336" s="65"/>
      <c r="R336" s="65"/>
      <c r="S336" s="65"/>
      <c r="T336" s="65"/>
      <c r="U336" s="65"/>
      <c r="V336" s="65"/>
      <c r="W336" s="65"/>
      <c r="X336" s="65"/>
      <c r="Y336" s="65"/>
      <c r="Z336" s="65"/>
    </row>
    <row r="337" spans="12:26" ht="12.75">
      <c r="L337" s="65"/>
      <c r="M337" s="65"/>
      <c r="N337" s="65"/>
      <c r="O337" s="65"/>
      <c r="P337" s="65"/>
      <c r="Q337" s="65"/>
      <c r="R337" s="65"/>
      <c r="S337" s="65"/>
      <c r="T337" s="65"/>
      <c r="U337" s="65"/>
      <c r="V337" s="65"/>
      <c r="W337" s="65"/>
      <c r="X337" s="65"/>
      <c r="Y337" s="65"/>
      <c r="Z337" s="65"/>
    </row>
    <row r="338" spans="12:26" ht="12.75">
      <c r="L338" s="65"/>
      <c r="M338" s="65"/>
      <c r="N338" s="65"/>
      <c r="O338" s="65"/>
      <c r="P338" s="65"/>
      <c r="Q338" s="65"/>
      <c r="R338" s="65"/>
      <c r="S338" s="65"/>
      <c r="T338" s="65"/>
      <c r="U338" s="65"/>
      <c r="V338" s="65"/>
      <c r="W338" s="65"/>
      <c r="X338" s="65"/>
      <c r="Y338" s="65"/>
      <c r="Z338" s="65"/>
    </row>
    <row r="339" spans="12:26" ht="12.75">
      <c r="L339" s="65"/>
      <c r="M339" s="65"/>
      <c r="N339" s="65"/>
      <c r="O339" s="65"/>
      <c r="P339" s="65"/>
      <c r="Q339" s="65"/>
      <c r="R339" s="65"/>
      <c r="S339" s="65"/>
      <c r="T339" s="65"/>
      <c r="U339" s="65"/>
      <c r="V339" s="65"/>
      <c r="W339" s="65"/>
      <c r="X339" s="65"/>
      <c r="Y339" s="65"/>
      <c r="Z339" s="65"/>
    </row>
    <row r="340" spans="12:26" ht="12.75">
      <c r="L340" s="65"/>
      <c r="M340" s="65"/>
      <c r="N340" s="65"/>
      <c r="O340" s="65"/>
      <c r="P340" s="65"/>
      <c r="Q340" s="65"/>
      <c r="R340" s="65"/>
      <c r="S340" s="65"/>
      <c r="T340" s="65"/>
      <c r="U340" s="65"/>
      <c r="V340" s="65"/>
      <c r="W340" s="65"/>
      <c r="X340" s="65"/>
      <c r="Y340" s="65"/>
      <c r="Z340" s="65"/>
    </row>
    <row r="341" spans="12:26" ht="12.75">
      <c r="L341" s="65"/>
      <c r="M341" s="65"/>
      <c r="N341" s="65"/>
      <c r="O341" s="65"/>
      <c r="P341" s="65"/>
      <c r="Q341" s="65"/>
      <c r="R341" s="65"/>
      <c r="S341" s="65"/>
      <c r="T341" s="65"/>
      <c r="U341" s="65"/>
      <c r="V341" s="65"/>
      <c r="W341" s="65"/>
      <c r="X341" s="65"/>
      <c r="Y341" s="65"/>
      <c r="Z341" s="65"/>
    </row>
    <row r="342" spans="12:26" ht="12.75">
      <c r="L342" s="65"/>
      <c r="M342" s="65"/>
      <c r="N342" s="65"/>
      <c r="O342" s="65"/>
      <c r="P342" s="65"/>
      <c r="Q342" s="65"/>
      <c r="R342" s="65"/>
      <c r="S342" s="65"/>
      <c r="T342" s="65"/>
      <c r="U342" s="65"/>
      <c r="V342" s="65"/>
      <c r="W342" s="65"/>
      <c r="X342" s="65"/>
      <c r="Y342" s="65"/>
      <c r="Z342" s="65"/>
    </row>
    <row r="343" spans="12:26" ht="12.75">
      <c r="L343" s="65"/>
      <c r="M343" s="65"/>
      <c r="N343" s="65"/>
      <c r="O343" s="65"/>
      <c r="P343" s="65"/>
      <c r="Q343" s="65"/>
      <c r="R343" s="65"/>
      <c r="S343" s="65"/>
      <c r="T343" s="65"/>
      <c r="U343" s="65"/>
      <c r="V343" s="65"/>
      <c r="W343" s="65"/>
      <c r="X343" s="65"/>
      <c r="Y343" s="65"/>
      <c r="Z343" s="65"/>
    </row>
    <row r="344" spans="12:26" ht="12.75">
      <c r="L344" s="65"/>
      <c r="M344" s="65"/>
      <c r="N344" s="65"/>
      <c r="O344" s="65"/>
      <c r="P344" s="65"/>
      <c r="Q344" s="65"/>
      <c r="R344" s="65"/>
      <c r="S344" s="65"/>
      <c r="T344" s="65"/>
      <c r="U344" s="65"/>
      <c r="V344" s="65"/>
      <c r="W344" s="65"/>
      <c r="X344" s="65"/>
      <c r="Y344" s="65"/>
      <c r="Z344" s="65"/>
    </row>
    <row r="345" spans="12:26" ht="12.75">
      <c r="L345" s="65"/>
      <c r="M345" s="65"/>
      <c r="N345" s="65"/>
      <c r="O345" s="65"/>
      <c r="P345" s="65"/>
      <c r="Q345" s="65"/>
      <c r="R345" s="65"/>
      <c r="S345" s="65"/>
      <c r="T345" s="65"/>
      <c r="U345" s="65"/>
      <c r="V345" s="65"/>
      <c r="W345" s="65"/>
      <c r="X345" s="65"/>
      <c r="Y345" s="65"/>
      <c r="Z345" s="65"/>
    </row>
    <row r="346" spans="12:26" ht="12.75">
      <c r="L346" s="65"/>
      <c r="M346" s="65"/>
      <c r="N346" s="65"/>
      <c r="O346" s="65"/>
      <c r="P346" s="65"/>
      <c r="Q346" s="65"/>
      <c r="R346" s="65"/>
      <c r="S346" s="65"/>
      <c r="T346" s="65"/>
      <c r="U346" s="65"/>
      <c r="V346" s="65"/>
      <c r="W346" s="65"/>
      <c r="X346" s="65"/>
      <c r="Y346" s="65"/>
      <c r="Z346" s="65"/>
    </row>
    <row r="347" spans="12:26" ht="12.75">
      <c r="L347" s="65"/>
      <c r="M347" s="65"/>
      <c r="N347" s="65"/>
      <c r="O347" s="65"/>
      <c r="P347" s="65"/>
      <c r="Q347" s="65"/>
      <c r="R347" s="65"/>
      <c r="S347" s="65"/>
      <c r="T347" s="65"/>
      <c r="U347" s="65"/>
      <c r="V347" s="65"/>
      <c r="W347" s="65"/>
      <c r="X347" s="65"/>
      <c r="Y347" s="65"/>
      <c r="Z347" s="65"/>
    </row>
    <row r="348" spans="12:26" ht="12.75">
      <c r="L348" s="65"/>
      <c r="M348" s="65"/>
      <c r="N348" s="65"/>
      <c r="O348" s="65"/>
      <c r="P348" s="65"/>
      <c r="Q348" s="65"/>
      <c r="R348" s="65"/>
      <c r="S348" s="65"/>
      <c r="T348" s="65"/>
      <c r="U348" s="65"/>
      <c r="V348" s="65"/>
      <c r="W348" s="65"/>
      <c r="X348" s="65"/>
      <c r="Y348" s="65"/>
      <c r="Z348" s="65"/>
    </row>
    <row r="349" spans="12:26" ht="12.75">
      <c r="L349" s="65"/>
      <c r="M349" s="65"/>
      <c r="N349" s="65"/>
      <c r="O349" s="65"/>
      <c r="P349" s="65"/>
      <c r="Q349" s="65"/>
      <c r="R349" s="65"/>
      <c r="S349" s="65"/>
      <c r="T349" s="65"/>
      <c r="U349" s="65"/>
      <c r="V349" s="65"/>
      <c r="W349" s="65"/>
      <c r="X349" s="65"/>
      <c r="Y349" s="65"/>
      <c r="Z349" s="65"/>
    </row>
    <row r="350" spans="12:26" ht="12.75">
      <c r="L350" s="65"/>
      <c r="M350" s="65"/>
      <c r="N350" s="65"/>
      <c r="O350" s="65"/>
      <c r="P350" s="65"/>
      <c r="Q350" s="65"/>
      <c r="R350" s="65"/>
      <c r="S350" s="65"/>
      <c r="T350" s="65"/>
      <c r="U350" s="65"/>
      <c r="V350" s="65"/>
      <c r="W350" s="65"/>
      <c r="X350" s="65"/>
      <c r="Y350" s="65"/>
      <c r="Z350" s="65"/>
    </row>
    <row r="351" spans="12:26" ht="12.75">
      <c r="L351" s="65"/>
      <c r="M351" s="65"/>
      <c r="N351" s="65"/>
      <c r="O351" s="65"/>
      <c r="P351" s="65"/>
      <c r="Q351" s="65"/>
      <c r="R351" s="65"/>
      <c r="S351" s="65"/>
      <c r="T351" s="65"/>
      <c r="U351" s="65"/>
      <c r="V351" s="65"/>
      <c r="W351" s="65"/>
      <c r="X351" s="65"/>
      <c r="Y351" s="65"/>
      <c r="Z351" s="65"/>
    </row>
    <row r="352" spans="12:26" ht="12.75">
      <c r="L352" s="65"/>
      <c r="M352" s="65"/>
      <c r="N352" s="65"/>
      <c r="O352" s="65"/>
      <c r="P352" s="65"/>
      <c r="Q352" s="65"/>
      <c r="R352" s="65"/>
      <c r="S352" s="65"/>
      <c r="T352" s="65"/>
      <c r="U352" s="65"/>
      <c r="V352" s="65"/>
      <c r="W352" s="65"/>
      <c r="X352" s="65"/>
      <c r="Y352" s="65"/>
      <c r="Z352" s="65"/>
    </row>
    <row r="353" spans="12:26" ht="12.75">
      <c r="L353" s="65"/>
      <c r="M353" s="65"/>
      <c r="N353" s="65"/>
      <c r="O353" s="65"/>
      <c r="P353" s="65"/>
      <c r="Q353" s="65"/>
      <c r="R353" s="65"/>
      <c r="S353" s="65"/>
      <c r="T353" s="65"/>
      <c r="U353" s="65"/>
      <c r="V353" s="65"/>
      <c r="W353" s="65"/>
      <c r="X353" s="65"/>
      <c r="Y353" s="65"/>
      <c r="Z353" s="65"/>
    </row>
    <row r="354" spans="12:26" ht="12.75">
      <c r="L354" s="65"/>
      <c r="M354" s="65"/>
      <c r="N354" s="65"/>
      <c r="O354" s="65"/>
      <c r="P354" s="65"/>
      <c r="Q354" s="65"/>
      <c r="R354" s="65"/>
      <c r="S354" s="65"/>
      <c r="T354" s="65"/>
      <c r="U354" s="65"/>
      <c r="V354" s="65"/>
      <c r="W354" s="65"/>
      <c r="X354" s="65"/>
      <c r="Y354" s="65"/>
      <c r="Z354" s="65"/>
    </row>
    <row r="355" spans="12:26" ht="12.75">
      <c r="L355" s="65"/>
      <c r="M355" s="65"/>
      <c r="N355" s="65"/>
      <c r="O355" s="65"/>
      <c r="P355" s="65"/>
      <c r="Q355" s="65"/>
      <c r="R355" s="65"/>
      <c r="S355" s="65"/>
      <c r="T355" s="65"/>
      <c r="U355" s="65"/>
      <c r="V355" s="65"/>
      <c r="W355" s="65"/>
      <c r="X355" s="65"/>
      <c r="Y355" s="65"/>
      <c r="Z355" s="65"/>
    </row>
    <row r="356" spans="12:26" ht="12.75">
      <c r="L356" s="65"/>
      <c r="M356" s="65"/>
      <c r="N356" s="65"/>
      <c r="O356" s="65"/>
      <c r="P356" s="65"/>
      <c r="Q356" s="65"/>
      <c r="R356" s="65"/>
      <c r="S356" s="65"/>
      <c r="T356" s="65"/>
      <c r="U356" s="65"/>
      <c r="V356" s="65"/>
      <c r="W356" s="65"/>
      <c r="X356" s="65"/>
      <c r="Y356" s="65"/>
      <c r="Z356" s="65"/>
    </row>
    <row r="357" spans="12:26" ht="12.75">
      <c r="L357" s="65"/>
      <c r="M357" s="65"/>
      <c r="N357" s="65"/>
      <c r="O357" s="65"/>
      <c r="P357" s="65"/>
      <c r="Q357" s="65"/>
      <c r="R357" s="65"/>
      <c r="S357" s="65"/>
      <c r="T357" s="65"/>
      <c r="U357" s="65"/>
      <c r="V357" s="65"/>
      <c r="W357" s="65"/>
      <c r="X357" s="65"/>
      <c r="Y357" s="65"/>
      <c r="Z357" s="65"/>
    </row>
    <row r="358" spans="12:26" ht="12.75">
      <c r="L358" s="65"/>
      <c r="M358" s="65"/>
      <c r="N358" s="65"/>
      <c r="O358" s="65"/>
      <c r="P358" s="65"/>
      <c r="Q358" s="65"/>
      <c r="R358" s="65"/>
      <c r="S358" s="65"/>
      <c r="T358" s="65"/>
      <c r="U358" s="65"/>
      <c r="V358" s="65"/>
      <c r="W358" s="65"/>
      <c r="X358" s="65"/>
      <c r="Y358" s="65"/>
      <c r="Z358" s="65"/>
    </row>
    <row r="359" spans="12:26" ht="12.75">
      <c r="L359" s="65"/>
      <c r="M359" s="65"/>
      <c r="N359" s="65"/>
      <c r="O359" s="65"/>
      <c r="P359" s="65"/>
      <c r="Q359" s="65"/>
      <c r="R359" s="65"/>
      <c r="S359" s="65"/>
      <c r="T359" s="65"/>
      <c r="U359" s="65"/>
      <c r="V359" s="65"/>
      <c r="W359" s="65"/>
      <c r="X359" s="65"/>
      <c r="Y359" s="65"/>
      <c r="Z359" s="65"/>
    </row>
    <row r="360" spans="12:26" ht="12.75">
      <c r="L360" s="65"/>
      <c r="M360" s="65"/>
      <c r="N360" s="65"/>
      <c r="O360" s="65"/>
      <c r="P360" s="65"/>
      <c r="Q360" s="65"/>
      <c r="R360" s="65"/>
      <c r="S360" s="65"/>
      <c r="T360" s="65"/>
      <c r="U360" s="65"/>
      <c r="V360" s="65"/>
      <c r="W360" s="65"/>
      <c r="X360" s="65"/>
      <c r="Y360" s="65"/>
      <c r="Z360" s="65"/>
    </row>
    <row r="361" spans="12:26" ht="12.75">
      <c r="L361" s="65"/>
      <c r="M361" s="65"/>
      <c r="N361" s="65"/>
      <c r="O361" s="65"/>
      <c r="P361" s="65"/>
      <c r="Q361" s="65"/>
      <c r="R361" s="65"/>
      <c r="S361" s="65"/>
      <c r="T361" s="65"/>
      <c r="U361" s="65"/>
      <c r="V361" s="65"/>
      <c r="W361" s="65"/>
      <c r="X361" s="65"/>
      <c r="Y361" s="65"/>
      <c r="Z361" s="65"/>
    </row>
    <row r="362" spans="12:26" ht="12.75">
      <c r="L362" s="65"/>
      <c r="M362" s="65"/>
      <c r="N362" s="65"/>
      <c r="O362" s="65"/>
      <c r="P362" s="65"/>
      <c r="Q362" s="65"/>
      <c r="R362" s="65"/>
      <c r="S362" s="65"/>
      <c r="T362" s="65"/>
      <c r="U362" s="65"/>
      <c r="V362" s="65"/>
      <c r="W362" s="65"/>
      <c r="X362" s="65"/>
      <c r="Y362" s="65"/>
      <c r="Z362" s="65"/>
    </row>
    <row r="363" spans="12:26" ht="12.75">
      <c r="L363" s="65"/>
      <c r="M363" s="65"/>
      <c r="N363" s="65"/>
      <c r="O363" s="65"/>
      <c r="P363" s="65"/>
      <c r="Q363" s="65"/>
      <c r="R363" s="65"/>
      <c r="S363" s="65"/>
      <c r="T363" s="65"/>
      <c r="U363" s="65"/>
      <c r="V363" s="65"/>
      <c r="W363" s="65"/>
      <c r="X363" s="65"/>
      <c r="Y363" s="65"/>
      <c r="Z363" s="65"/>
    </row>
    <row r="364" spans="12:26" ht="12.75">
      <c r="L364" s="65"/>
      <c r="M364" s="65"/>
      <c r="N364" s="65"/>
      <c r="O364" s="65"/>
      <c r="P364" s="65"/>
      <c r="Q364" s="65"/>
      <c r="R364" s="65"/>
      <c r="S364" s="65"/>
      <c r="T364" s="65"/>
      <c r="U364" s="65"/>
      <c r="V364" s="65"/>
      <c r="W364" s="65"/>
      <c r="X364" s="65"/>
      <c r="Y364" s="65"/>
      <c r="Z364" s="65"/>
    </row>
  </sheetData>
  <mergeCells count="31">
    <mergeCell ref="I77:K78"/>
    <mergeCell ref="AM9:BB9"/>
    <mergeCell ref="Z9:AK9"/>
    <mergeCell ref="N9:X9"/>
    <mergeCell ref="B1:L1"/>
    <mergeCell ref="N1:X1"/>
    <mergeCell ref="A9:L9"/>
    <mergeCell ref="Z1:AK1"/>
    <mergeCell ref="AM1:AY1"/>
    <mergeCell ref="Z2:AK4"/>
    <mergeCell ref="Z5:AK7"/>
    <mergeCell ref="AN4:AU4"/>
    <mergeCell ref="AN5:AW5"/>
    <mergeCell ref="P80:W80"/>
    <mergeCell ref="P99:W99"/>
    <mergeCell ref="P111:W111"/>
    <mergeCell ref="A152:A153"/>
    <mergeCell ref="C80:J80"/>
    <mergeCell ref="C99:J99"/>
    <mergeCell ref="C81:J81"/>
    <mergeCell ref="J150:J151"/>
    <mergeCell ref="B110:B111"/>
    <mergeCell ref="C111:J111"/>
    <mergeCell ref="B122:B123"/>
    <mergeCell ref="C123:J123"/>
    <mergeCell ref="F134:H135"/>
    <mergeCell ref="B180:J180"/>
    <mergeCell ref="P123:W123"/>
    <mergeCell ref="O110:O112"/>
    <mergeCell ref="O122:O124"/>
    <mergeCell ref="O94:W97"/>
  </mergeCells>
  <printOptions/>
  <pageMargins left="0.25" right="0.25" top="0.75" bottom="0.75" header="0.3" footer="0.3"/>
  <pageSetup fitToWidth="0" fitToHeight="1" horizontalDpi="600" verticalDpi="600" orientation="portrait" paperSize="9"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87"/>
  <sheetViews>
    <sheetView showZeros="0" zoomScale="75" zoomScaleNormal="75" workbookViewId="0" topLeftCell="A9">
      <pane xSplit="1" ySplit="4" topLeftCell="Y29" activePane="bottomRight" state="frozen"/>
      <selection pane="topLeft" activeCell="A9" sqref="A9"/>
      <selection pane="topRight" activeCell="B9" sqref="B9"/>
      <selection pane="bottomLeft" activeCell="A13" sqref="A13"/>
      <selection pane="bottomRight" activeCell="N141" sqref="N141"/>
    </sheetView>
  </sheetViews>
  <sheetFormatPr defaultColWidth="9.140625" defaultRowHeight="12.75"/>
  <cols>
    <col min="1" max="1" width="30.28125" style="0" customWidth="1"/>
    <col min="4" max="4" width="10.7109375" style="0" customWidth="1"/>
    <col min="8" max="8" width="11.57421875" style="0" customWidth="1"/>
    <col min="9" max="9" width="12.28125" style="0" customWidth="1"/>
    <col min="12" max="12" width="11.00390625" style="0" customWidth="1"/>
    <col min="13" max="13" width="1.57421875" style="26" customWidth="1"/>
    <col min="14" max="15" width="9.28125" style="0" customWidth="1"/>
    <col min="16" max="16" width="10.57421875" style="0" customWidth="1"/>
    <col min="17" max="19" width="9.28125" style="0" customWidth="1"/>
    <col min="20" max="20" width="12.57421875" style="0" customWidth="1"/>
    <col min="21" max="21" width="11.57421875" style="0" customWidth="1"/>
    <col min="22" max="23" width="9.28125" style="0" customWidth="1"/>
    <col min="24" max="24" width="12.8515625" style="0" customWidth="1"/>
    <col min="25" max="25" width="1.57421875" style="26" customWidth="1"/>
    <col min="26" max="26" width="10.28125" style="0" customWidth="1"/>
    <col min="27" max="28" width="10.00390625" style="0" customWidth="1"/>
    <col min="29" max="32" width="9.28125" style="0" customWidth="1"/>
    <col min="33" max="33" width="11.57421875" style="0" customWidth="1"/>
    <col min="34" max="35" width="9.28125" style="0" customWidth="1"/>
    <col min="36" max="36" width="11.28125" style="0" customWidth="1"/>
    <col min="37" max="37" width="1.57421875" style="26" customWidth="1"/>
    <col min="38" max="38" width="0.42578125" style="0" customWidth="1"/>
    <col min="40" max="40" width="10.57421875" style="0" customWidth="1"/>
    <col min="42" max="42" width="11.00390625" style="0" customWidth="1"/>
    <col min="47" max="47" width="11.00390625" style="0" customWidth="1"/>
    <col min="48" max="48" width="10.421875" style="0" customWidth="1"/>
    <col min="50" max="50" width="11.28125" style="0" customWidth="1"/>
    <col min="53" max="53" width="13.7109375" style="4" customWidth="1"/>
  </cols>
  <sheetData>
    <row r="1" spans="1:51" ht="88.5" customHeight="1">
      <c r="A1" s="164"/>
      <c r="B1" s="1412"/>
      <c r="C1" s="1412"/>
      <c r="D1" s="1412"/>
      <c r="E1" s="1412"/>
      <c r="F1" s="1412"/>
      <c r="G1" s="1412"/>
      <c r="H1" s="1412"/>
      <c r="I1" s="1412"/>
      <c r="J1" s="1412"/>
      <c r="K1" s="1412"/>
      <c r="L1" s="1413"/>
      <c r="M1" s="165"/>
      <c r="N1" s="182"/>
      <c r="O1" s="182"/>
      <c r="P1" s="182"/>
      <c r="Q1" s="182"/>
      <c r="R1" s="182"/>
      <c r="S1" s="182"/>
      <c r="T1" s="182"/>
      <c r="U1" s="182"/>
      <c r="V1" s="182"/>
      <c r="W1" s="182"/>
      <c r="X1" s="182"/>
      <c r="Y1" s="165"/>
      <c r="Z1" s="182"/>
      <c r="AA1" s="182"/>
      <c r="AB1" s="182"/>
      <c r="AC1" s="182"/>
      <c r="AD1" s="182"/>
      <c r="AE1" s="182"/>
      <c r="AF1" s="182"/>
      <c r="AG1" s="182"/>
      <c r="AH1" s="182"/>
      <c r="AI1" s="182"/>
      <c r="AJ1" s="182"/>
      <c r="AK1" s="165"/>
      <c r="AL1" s="165"/>
      <c r="AM1" s="1418"/>
      <c r="AN1" s="1418"/>
      <c r="AO1" s="1418"/>
      <c r="AP1" s="1418"/>
      <c r="AQ1" s="1418"/>
      <c r="AR1" s="1418"/>
      <c r="AS1" s="1418"/>
      <c r="AT1" s="1418"/>
      <c r="AU1" s="1418"/>
      <c r="AV1" s="1418"/>
      <c r="AW1" s="1418"/>
      <c r="AX1" s="1418"/>
      <c r="AY1" s="1418"/>
    </row>
    <row r="2" spans="2:52" ht="12.75">
      <c r="B2" s="62"/>
      <c r="C2" s="62"/>
      <c r="D2" s="62"/>
      <c r="E2" s="62"/>
      <c r="F2" s="62"/>
      <c r="G2" s="62"/>
      <c r="H2" s="62"/>
      <c r="I2" s="62"/>
      <c r="J2" s="62"/>
      <c r="K2" s="62"/>
      <c r="L2" s="63"/>
      <c r="N2" s="25"/>
      <c r="O2" s="25"/>
      <c r="P2" s="25"/>
      <c r="Q2" s="25"/>
      <c r="R2" s="25"/>
      <c r="S2" s="25"/>
      <c r="T2" s="25"/>
      <c r="U2" s="25"/>
      <c r="V2" s="25"/>
      <c r="W2" s="25"/>
      <c r="X2" s="25"/>
      <c r="Z2" s="25"/>
      <c r="AA2" s="25"/>
      <c r="AB2" s="25"/>
      <c r="AC2" s="25"/>
      <c r="AD2" s="25"/>
      <c r="AE2" s="25"/>
      <c r="AF2" s="25"/>
      <c r="AG2" s="25"/>
      <c r="AH2" s="25"/>
      <c r="AI2" s="25"/>
      <c r="AJ2" s="25"/>
      <c r="AL2" s="26"/>
      <c r="AZ2" s="4" t="s">
        <v>89</v>
      </c>
    </row>
    <row r="3" spans="2:52" ht="12.75">
      <c r="B3" s="66" t="s">
        <v>119</v>
      </c>
      <c r="C3" s="580" t="s">
        <v>288</v>
      </c>
      <c r="D3" s="580" t="s">
        <v>289</v>
      </c>
      <c r="E3" s="580" t="s">
        <v>120</v>
      </c>
      <c r="I3" s="580" t="s">
        <v>290</v>
      </c>
      <c r="L3" s="1"/>
      <c r="N3" s="25"/>
      <c r="O3" s="25"/>
      <c r="P3" s="25"/>
      <c r="Q3" s="25"/>
      <c r="R3" s="25"/>
      <c r="S3" s="25"/>
      <c r="T3" s="25"/>
      <c r="U3" s="25"/>
      <c r="V3" s="25"/>
      <c r="W3" s="25"/>
      <c r="X3" s="25"/>
      <c r="Z3" s="25"/>
      <c r="AA3" s="25"/>
      <c r="AB3" s="25"/>
      <c r="AC3" s="25"/>
      <c r="AD3" s="25"/>
      <c r="AE3" s="25"/>
      <c r="AF3" s="25"/>
      <c r="AG3" s="25"/>
      <c r="AH3" s="25"/>
      <c r="AI3" s="25"/>
      <c r="AJ3" s="25"/>
      <c r="AL3" s="26"/>
      <c r="AZ3" s="4" t="s">
        <v>90</v>
      </c>
    </row>
    <row r="4" spans="1:50" ht="12.75">
      <c r="A4" t="s">
        <v>115</v>
      </c>
      <c r="B4" s="4">
        <v>25.6</v>
      </c>
      <c r="C4" s="4">
        <v>43</v>
      </c>
      <c r="D4" s="4">
        <v>43</v>
      </c>
      <c r="E4" s="4">
        <v>49</v>
      </c>
      <c r="F4" s="4"/>
      <c r="G4" s="4"/>
      <c r="H4" s="4"/>
      <c r="I4" s="4">
        <v>7</v>
      </c>
      <c r="L4" s="1"/>
      <c r="N4" s="25"/>
      <c r="O4" s="25"/>
      <c r="P4" s="25"/>
      <c r="Q4" s="25"/>
      <c r="R4" s="25"/>
      <c r="S4" s="25"/>
      <c r="T4" s="25"/>
      <c r="U4" s="25"/>
      <c r="V4" s="25"/>
      <c r="W4" s="25"/>
      <c r="X4" s="25"/>
      <c r="Z4" s="25"/>
      <c r="AA4" s="25"/>
      <c r="AB4" s="25"/>
      <c r="AC4" s="25"/>
      <c r="AD4" s="25"/>
      <c r="AE4" s="25"/>
      <c r="AF4" s="25"/>
      <c r="AG4" s="25"/>
      <c r="AH4" s="25"/>
      <c r="AI4" s="25"/>
      <c r="AJ4" s="25"/>
      <c r="AL4" s="26"/>
      <c r="AN4" s="1429"/>
      <c r="AO4" s="1429"/>
      <c r="AP4" s="1429"/>
      <c r="AQ4" s="1429"/>
      <c r="AR4" s="1429"/>
      <c r="AS4" s="1429"/>
      <c r="AT4" s="1429"/>
      <c r="AU4" s="1429"/>
      <c r="AV4" s="905"/>
      <c r="AW4" s="905"/>
      <c r="AX4" s="91"/>
    </row>
    <row r="5" spans="2:50" ht="12.75">
      <c r="B5" s="4"/>
      <c r="C5" s="4"/>
      <c r="D5" s="4"/>
      <c r="E5" s="4"/>
      <c r="F5" s="4"/>
      <c r="G5" s="4"/>
      <c r="H5" s="4"/>
      <c r="I5" s="4">
        <v>29</v>
      </c>
      <c r="L5" s="1"/>
      <c r="N5" s="25"/>
      <c r="O5" s="25"/>
      <c r="P5" s="25"/>
      <c r="Q5" s="25"/>
      <c r="R5" s="25"/>
      <c r="S5" s="25"/>
      <c r="T5" s="25"/>
      <c r="U5" s="25"/>
      <c r="V5" s="25"/>
      <c r="W5" s="25"/>
      <c r="X5" s="25"/>
      <c r="Z5" s="25"/>
      <c r="AA5" s="25"/>
      <c r="AB5" s="25"/>
      <c r="AC5" s="25"/>
      <c r="AD5" s="25"/>
      <c r="AE5" s="25"/>
      <c r="AF5" s="25"/>
      <c r="AG5" s="25"/>
      <c r="AH5" s="25"/>
      <c r="AI5" s="25"/>
      <c r="AJ5" s="25"/>
      <c r="AL5" s="26"/>
      <c r="AN5" s="1429"/>
      <c r="AO5" s="1429"/>
      <c r="AP5" s="1429"/>
      <c r="AQ5" s="1429"/>
      <c r="AR5" s="1429"/>
      <c r="AS5" s="1429"/>
      <c r="AT5" s="1429"/>
      <c r="AU5" s="1429"/>
      <c r="AV5" s="1429"/>
      <c r="AW5" s="1429"/>
      <c r="AX5" s="91"/>
    </row>
    <row r="6" spans="2:49" ht="12.75">
      <c r="B6" s="4"/>
      <c r="C6" s="4"/>
      <c r="D6" s="4"/>
      <c r="E6" s="4"/>
      <c r="F6" s="4"/>
      <c r="G6" s="4"/>
      <c r="H6" s="4"/>
      <c r="I6" s="695" t="s">
        <v>282</v>
      </c>
      <c r="J6" s="4"/>
      <c r="K6" s="4"/>
      <c r="L6" s="1"/>
      <c r="N6" s="25"/>
      <c r="O6" s="25"/>
      <c r="P6" s="25"/>
      <c r="Q6" s="25"/>
      <c r="R6" s="25"/>
      <c r="S6" s="25"/>
      <c r="T6" s="25"/>
      <c r="U6" s="25"/>
      <c r="V6" s="25"/>
      <c r="W6" s="25"/>
      <c r="X6" s="25"/>
      <c r="Z6" s="25"/>
      <c r="AA6" s="25"/>
      <c r="AB6" s="25"/>
      <c r="AC6" s="25"/>
      <c r="AD6" s="25"/>
      <c r="AE6" s="25"/>
      <c r="AF6" s="25"/>
      <c r="AG6" s="25"/>
      <c r="AH6" s="25"/>
      <c r="AI6" s="25"/>
      <c r="AJ6" s="25"/>
      <c r="AL6" s="26"/>
      <c r="AN6" s="17"/>
      <c r="AO6" s="17"/>
      <c r="AP6" s="17"/>
      <c r="AQ6" s="17"/>
      <c r="AR6" s="17"/>
      <c r="AS6" s="17"/>
      <c r="AT6" s="17"/>
      <c r="AU6" s="17"/>
      <c r="AV6" s="4"/>
      <c r="AW6" s="4"/>
    </row>
    <row r="7" spans="2:49" ht="12.75">
      <c r="B7" s="4"/>
      <c r="C7" s="4"/>
      <c r="D7" s="4"/>
      <c r="E7" s="4"/>
      <c r="F7" s="4"/>
      <c r="G7" s="4"/>
      <c r="H7" s="4"/>
      <c r="I7" s="4"/>
      <c r="J7" s="4"/>
      <c r="K7" s="4"/>
      <c r="L7" s="1"/>
      <c r="N7" s="25"/>
      <c r="O7" s="25"/>
      <c r="P7" s="25"/>
      <c r="Q7" s="25"/>
      <c r="R7" s="25"/>
      <c r="S7" s="25"/>
      <c r="T7" s="25"/>
      <c r="U7" s="25"/>
      <c r="V7" s="25"/>
      <c r="W7" s="25"/>
      <c r="X7" s="25"/>
      <c r="Z7" s="25"/>
      <c r="AA7" s="25"/>
      <c r="AB7" s="25"/>
      <c r="AC7" s="25"/>
      <c r="AD7" s="25"/>
      <c r="AE7" s="25"/>
      <c r="AF7" s="25"/>
      <c r="AG7" s="25"/>
      <c r="AH7" s="25"/>
      <c r="AI7" s="25"/>
      <c r="AJ7" s="25"/>
      <c r="AL7" s="26"/>
      <c r="AU7" s="17"/>
      <c r="AV7" s="4"/>
      <c r="AW7" s="4"/>
    </row>
    <row r="8" spans="1:49" ht="19.5" thickBot="1">
      <c r="A8" s="1432"/>
      <c r="B8" s="1432"/>
      <c r="C8" s="1432"/>
      <c r="D8" s="1432"/>
      <c r="E8" s="1432"/>
      <c r="F8" s="1432"/>
      <c r="G8" s="1432"/>
      <c r="H8" s="1432"/>
      <c r="I8" s="1432"/>
      <c r="J8" s="1432"/>
      <c r="K8" s="1432"/>
      <c r="L8" s="1433"/>
      <c r="N8" s="53"/>
      <c r="O8" s="53"/>
      <c r="P8" s="53"/>
      <c r="Q8" s="53"/>
      <c r="R8" s="53"/>
      <c r="S8" s="53"/>
      <c r="T8" s="53"/>
      <c r="U8" s="53"/>
      <c r="V8" s="53"/>
      <c r="W8" s="53"/>
      <c r="X8" s="53"/>
      <c r="Z8" s="53"/>
      <c r="AA8" s="53"/>
      <c r="AB8" s="53"/>
      <c r="AC8" s="53"/>
      <c r="AD8" s="53"/>
      <c r="AE8" s="53"/>
      <c r="AF8" s="53"/>
      <c r="AG8" s="53"/>
      <c r="AH8" s="53"/>
      <c r="AI8" s="53"/>
      <c r="AJ8" s="53"/>
      <c r="AL8" s="26"/>
      <c r="AM8" s="113"/>
      <c r="AN8" s="114"/>
      <c r="AO8" s="115"/>
      <c r="AP8" s="113"/>
      <c r="AQ8" s="163"/>
      <c r="AS8" s="115"/>
      <c r="AT8" s="113"/>
      <c r="AU8" s="113"/>
      <c r="AV8" s="4"/>
      <c r="AW8" s="4"/>
    </row>
    <row r="9" spans="2:52" ht="19.5" thickBot="1">
      <c r="B9" s="1415" t="s">
        <v>325</v>
      </c>
      <c r="C9" s="1416"/>
      <c r="D9" s="1416"/>
      <c r="E9" s="1416"/>
      <c r="F9" s="1416"/>
      <c r="G9" s="1416"/>
      <c r="H9" s="1416"/>
      <c r="I9" s="1416"/>
      <c r="J9" s="1416"/>
      <c r="K9" s="1416"/>
      <c r="L9" s="1417"/>
      <c r="N9" s="1415" t="s">
        <v>139</v>
      </c>
      <c r="O9" s="1416"/>
      <c r="P9" s="1416"/>
      <c r="Q9" s="1416"/>
      <c r="R9" s="1416"/>
      <c r="S9" s="1416"/>
      <c r="T9" s="1416"/>
      <c r="U9" s="1416"/>
      <c r="V9" s="1416"/>
      <c r="W9" s="1416"/>
      <c r="X9" s="1417"/>
      <c r="Z9" s="1415" t="s">
        <v>126</v>
      </c>
      <c r="AA9" s="1416"/>
      <c r="AB9" s="1416"/>
      <c r="AC9" s="1416"/>
      <c r="AD9" s="1416"/>
      <c r="AE9" s="1416"/>
      <c r="AF9" s="1416"/>
      <c r="AG9" s="1416"/>
      <c r="AH9" s="1416"/>
      <c r="AI9" s="1416"/>
      <c r="AJ9" s="1417"/>
      <c r="AL9" s="26"/>
      <c r="AM9" s="1409" t="s">
        <v>292</v>
      </c>
      <c r="AN9" s="1410"/>
      <c r="AO9" s="1410"/>
      <c r="AP9" s="1410"/>
      <c r="AQ9" s="1410"/>
      <c r="AR9" s="1410"/>
      <c r="AS9" s="1410"/>
      <c r="AT9" s="1410"/>
      <c r="AU9" s="1410"/>
      <c r="AV9" s="1410"/>
      <c r="AW9" s="1410"/>
      <c r="AX9" s="1410"/>
      <c r="AY9" s="1410"/>
      <c r="AZ9" s="1410"/>
    </row>
    <row r="10" spans="1:52" ht="12.75">
      <c r="A10" s="40" t="s">
        <v>0</v>
      </c>
      <c r="B10" s="41" t="s">
        <v>47</v>
      </c>
      <c r="C10" s="41" t="s">
        <v>48</v>
      </c>
      <c r="D10" s="42" t="s">
        <v>57</v>
      </c>
      <c r="E10" s="41" t="s">
        <v>49</v>
      </c>
      <c r="F10" s="41" t="s">
        <v>50</v>
      </c>
      <c r="G10" s="41" t="s">
        <v>51</v>
      </c>
      <c r="H10" s="42" t="s">
        <v>52</v>
      </c>
      <c r="I10" s="42" t="s">
        <v>53</v>
      </c>
      <c r="J10" s="42" t="s">
        <v>54</v>
      </c>
      <c r="K10" s="41" t="s">
        <v>55</v>
      </c>
      <c r="L10" s="43" t="s">
        <v>56</v>
      </c>
      <c r="N10" s="41" t="s">
        <v>47</v>
      </c>
      <c r="O10" s="41" t="s">
        <v>48</v>
      </c>
      <c r="P10" s="42" t="s">
        <v>57</v>
      </c>
      <c r="Q10" s="41" t="s">
        <v>49</v>
      </c>
      <c r="R10" s="41" t="s">
        <v>50</v>
      </c>
      <c r="S10" s="41" t="s">
        <v>51</v>
      </c>
      <c r="T10" s="42" t="s">
        <v>52</v>
      </c>
      <c r="U10" s="42" t="s">
        <v>53</v>
      </c>
      <c r="V10" s="42" t="s">
        <v>54</v>
      </c>
      <c r="W10" s="41" t="s">
        <v>55</v>
      </c>
      <c r="X10" s="43" t="s">
        <v>56</v>
      </c>
      <c r="Z10" s="41" t="s">
        <v>47</v>
      </c>
      <c r="AA10" s="41" t="s">
        <v>48</v>
      </c>
      <c r="AB10" s="42" t="s">
        <v>57</v>
      </c>
      <c r="AC10" s="41" t="s">
        <v>49</v>
      </c>
      <c r="AD10" s="41" t="s">
        <v>50</v>
      </c>
      <c r="AE10" s="41" t="s">
        <v>51</v>
      </c>
      <c r="AF10" s="42" t="s">
        <v>52</v>
      </c>
      <c r="AG10" s="42" t="s">
        <v>53</v>
      </c>
      <c r="AH10" s="42" t="s">
        <v>54</v>
      </c>
      <c r="AI10" s="41" t="s">
        <v>55</v>
      </c>
      <c r="AJ10" s="43" t="s">
        <v>56</v>
      </c>
      <c r="AL10" s="26"/>
      <c r="AM10" s="19" t="s">
        <v>0</v>
      </c>
      <c r="AN10" s="13" t="s">
        <v>47</v>
      </c>
      <c r="AO10" s="13" t="s">
        <v>48</v>
      </c>
      <c r="AP10" s="15" t="s">
        <v>57</v>
      </c>
      <c r="AQ10" s="13" t="s">
        <v>49</v>
      </c>
      <c r="AR10" s="136" t="s">
        <v>50</v>
      </c>
      <c r="AS10" s="136" t="s">
        <v>51</v>
      </c>
      <c r="AT10" s="137" t="s">
        <v>52</v>
      </c>
      <c r="AU10" s="15" t="s">
        <v>79</v>
      </c>
      <c r="AV10" s="1430" t="s">
        <v>54</v>
      </c>
      <c r="AW10" s="13" t="s">
        <v>55</v>
      </c>
      <c r="AX10" s="13" t="s">
        <v>56</v>
      </c>
      <c r="AY10" s="15" t="s">
        <v>56</v>
      </c>
      <c r="AZ10" s="130"/>
    </row>
    <row r="11" spans="1:52" ht="13.5" thickBot="1">
      <c r="A11" s="44" t="s">
        <v>1</v>
      </c>
      <c r="B11" s="45" t="s">
        <v>46</v>
      </c>
      <c r="C11" s="45" t="s">
        <v>58</v>
      </c>
      <c r="D11" s="46" t="s">
        <v>59</v>
      </c>
      <c r="E11" s="45"/>
      <c r="F11" s="45"/>
      <c r="G11" s="45"/>
      <c r="H11" s="46" t="s">
        <v>61</v>
      </c>
      <c r="I11" s="46" t="s">
        <v>60</v>
      </c>
      <c r="J11" s="46"/>
      <c r="K11" s="45"/>
      <c r="L11" s="47"/>
      <c r="N11" s="45" t="s">
        <v>46</v>
      </c>
      <c r="O11" s="45" t="s">
        <v>58</v>
      </c>
      <c r="P11" s="46" t="s">
        <v>59</v>
      </c>
      <c r="Q11" s="45"/>
      <c r="R11" s="45"/>
      <c r="S11" s="45"/>
      <c r="T11" s="46" t="s">
        <v>61</v>
      </c>
      <c r="U11" s="46" t="s">
        <v>60</v>
      </c>
      <c r="V11" s="46"/>
      <c r="W11" s="45"/>
      <c r="X11" s="47"/>
      <c r="Z11" s="45" t="s">
        <v>46</v>
      </c>
      <c r="AA11" s="45" t="s">
        <v>58</v>
      </c>
      <c r="AB11" s="46" t="s">
        <v>59</v>
      </c>
      <c r="AC11" s="45"/>
      <c r="AD11" s="45"/>
      <c r="AE11" s="45"/>
      <c r="AF11" s="46" t="s">
        <v>61</v>
      </c>
      <c r="AG11" s="46" t="s">
        <v>60</v>
      </c>
      <c r="AH11" s="46"/>
      <c r="AI11" s="45"/>
      <c r="AJ11" s="47"/>
      <c r="AL11" s="26"/>
      <c r="AM11" s="20" t="s">
        <v>1</v>
      </c>
      <c r="AN11" s="14" t="s">
        <v>46</v>
      </c>
      <c r="AO11" s="14" t="s">
        <v>58</v>
      </c>
      <c r="AP11" s="16" t="s">
        <v>59</v>
      </c>
      <c r="AQ11" s="14"/>
      <c r="AR11" s="138"/>
      <c r="AS11" s="138"/>
      <c r="AT11" s="127" t="s">
        <v>61</v>
      </c>
      <c r="AU11" s="127" t="s">
        <v>80</v>
      </c>
      <c r="AV11" s="1431"/>
      <c r="AW11" s="14"/>
      <c r="AX11" s="14"/>
      <c r="AY11" s="134"/>
      <c r="AZ11" s="132"/>
    </row>
    <row r="12" spans="1:54" ht="16.5" thickBot="1">
      <c r="A12" s="50"/>
      <c r="B12" s="186"/>
      <c r="C12" s="186"/>
      <c r="D12" s="187"/>
      <c r="E12" s="186"/>
      <c r="F12" s="186"/>
      <c r="G12" s="186"/>
      <c r="H12" s="186"/>
      <c r="I12" s="186"/>
      <c r="J12" s="186"/>
      <c r="K12" s="186"/>
      <c r="L12" s="188">
        <f ca="1">L13+L29</f>
        <v>1167.1538928347668</v>
      </c>
      <c r="M12" s="31"/>
      <c r="N12" s="186"/>
      <c r="O12" s="186"/>
      <c r="P12" s="187"/>
      <c r="Q12" s="186"/>
      <c r="R12" s="186"/>
      <c r="S12" s="186"/>
      <c r="T12" s="186"/>
      <c r="U12" s="186"/>
      <c r="V12" s="186"/>
      <c r="W12" s="186"/>
      <c r="X12" s="188">
        <f ca="1">X13+X29</f>
        <v>20202.917377063917</v>
      </c>
      <c r="Y12" s="31"/>
      <c r="Z12" s="186"/>
      <c r="AA12" s="186"/>
      <c r="AB12" s="187"/>
      <c r="AC12" s="186"/>
      <c r="AD12" s="186"/>
      <c r="AE12" s="186"/>
      <c r="AF12" s="186"/>
      <c r="AG12" s="186"/>
      <c r="AH12" s="186"/>
      <c r="AI12" s="186"/>
      <c r="AJ12" s="188">
        <f ca="1">AJ13+AJ29</f>
        <v>714.8868241942063</v>
      </c>
      <c r="AK12" s="31"/>
      <c r="AL12" s="31"/>
      <c r="AM12" s="264"/>
      <c r="AN12" s="265">
        <f aca="true" t="shared" si="0" ref="AN12:AW12">AN13+AN29</f>
        <v>16347.458894625</v>
      </c>
      <c r="AO12" s="265">
        <f t="shared" si="0"/>
        <v>206.9025</v>
      </c>
      <c r="AP12" s="265">
        <f ca="1" t="shared" si="0"/>
        <v>6300.1088860160835</v>
      </c>
      <c r="AQ12" s="265">
        <f ca="1" t="shared" si="0"/>
        <v>51.62769942428974</v>
      </c>
      <c r="AR12" s="265">
        <f t="shared" si="0"/>
        <v>0</v>
      </c>
      <c r="AS12" s="265">
        <f t="shared" si="0"/>
        <v>0</v>
      </c>
      <c r="AT12" s="265">
        <f t="shared" si="0"/>
        <v>0</v>
      </c>
      <c r="AU12" s="265">
        <f ca="1" t="shared" si="0"/>
        <v>298.6773299650133</v>
      </c>
      <c r="AV12" s="265">
        <f ca="1" t="shared" si="0"/>
        <v>8960.04633064479</v>
      </c>
      <c r="AW12" s="265">
        <f t="shared" si="0"/>
        <v>2189.394570733161</v>
      </c>
      <c r="AX12" s="945">
        <f ca="1">AX28+AX29-SUM(AX16:AX18)</f>
        <v>21821.69050721274</v>
      </c>
      <c r="AY12" s="106"/>
      <c r="AZ12" s="10"/>
      <c r="BA12" s="266"/>
      <c r="BB12" s="10"/>
    </row>
    <row r="13" spans="1:54" ht="15.75" thickBot="1">
      <c r="A13" s="84" t="s">
        <v>112</v>
      </c>
      <c r="B13" s="85"/>
      <c r="C13" s="85"/>
      <c r="D13" s="85"/>
      <c r="E13" s="85"/>
      <c r="F13" s="85"/>
      <c r="G13" s="85"/>
      <c r="H13" s="85"/>
      <c r="I13" s="85"/>
      <c r="J13" s="85"/>
      <c r="K13" s="85"/>
      <c r="L13" s="85">
        <f>SUM(L14:L27)</f>
        <v>621.2803775669645</v>
      </c>
      <c r="M13" s="31"/>
      <c r="N13" s="85"/>
      <c r="O13" s="85"/>
      <c r="P13" s="85"/>
      <c r="Q13" s="85"/>
      <c r="R13" s="85"/>
      <c r="S13" s="85"/>
      <c r="T13" s="85"/>
      <c r="U13" s="85"/>
      <c r="V13" s="85"/>
      <c r="W13" s="85"/>
      <c r="X13" s="85">
        <f>SUM(X14:X27)</f>
        <v>13663.602392578126</v>
      </c>
      <c r="Y13" s="31"/>
      <c r="Z13" s="85"/>
      <c r="AA13" s="85"/>
      <c r="AB13" s="85"/>
      <c r="AC13" s="85"/>
      <c r="AD13" s="85"/>
      <c r="AE13" s="85"/>
      <c r="AF13" s="85"/>
      <c r="AG13" s="85"/>
      <c r="AH13" s="85"/>
      <c r="AI13" s="85"/>
      <c r="AJ13" s="85">
        <f>SUM(AJ14:AJ27)</f>
        <v>41.323009</v>
      </c>
      <c r="AK13" s="31"/>
      <c r="AL13" s="31"/>
      <c r="AM13" s="8"/>
      <c r="AN13" s="107">
        <f aca="true" t="shared" si="1" ref="AN13:AW13">SUM(AN14:AN27)</f>
        <v>11951.425739546874</v>
      </c>
      <c r="AO13" s="107">
        <f t="shared" si="1"/>
        <v>0</v>
      </c>
      <c r="AP13" s="107">
        <f t="shared" si="1"/>
        <v>3406.4385112499995</v>
      </c>
      <c r="AQ13" s="107">
        <f t="shared" si="1"/>
        <v>35.5017</v>
      </c>
      <c r="AR13" s="107">
        <f t="shared" si="1"/>
        <v>0</v>
      </c>
      <c r="AS13" s="107">
        <f t="shared" si="1"/>
        <v>0</v>
      </c>
      <c r="AT13" s="107">
        <f t="shared" si="1"/>
        <v>0</v>
      </c>
      <c r="AU13" s="107">
        <f t="shared" si="1"/>
        <v>52.65704428571429</v>
      </c>
      <c r="AV13" s="108">
        <f t="shared" si="1"/>
        <v>0</v>
      </c>
      <c r="AW13" s="108">
        <f t="shared" si="1"/>
        <v>0</v>
      </c>
      <c r="AX13" s="1251">
        <f ca="1">AX28+AX29</f>
        <v>32969.715420470835</v>
      </c>
      <c r="AY13" s="109" t="s">
        <v>140</v>
      </c>
      <c r="AZ13" s="18"/>
      <c r="BA13" s="267"/>
      <c r="BB13" s="18"/>
    </row>
    <row r="14" spans="1:52" ht="12.75">
      <c r="A14" s="48" t="s">
        <v>9</v>
      </c>
      <c r="B14" s="49"/>
      <c r="C14" s="49"/>
      <c r="D14" s="53"/>
      <c r="E14" s="49"/>
      <c r="F14" s="49"/>
      <c r="G14" s="49"/>
      <c r="H14" s="49"/>
      <c r="I14" s="49"/>
      <c r="J14" s="49"/>
      <c r="K14" s="49"/>
      <c r="L14" s="55">
        <f>SUM(B14:K14)</f>
        <v>0</v>
      </c>
      <c r="N14" s="180"/>
      <c r="O14" s="180"/>
      <c r="P14" s="180"/>
      <c r="Q14" s="180"/>
      <c r="R14" s="180"/>
      <c r="S14" s="180"/>
      <c r="T14" s="180"/>
      <c r="U14" s="180"/>
      <c r="V14" s="49"/>
      <c r="W14" s="49"/>
      <c r="X14" s="55">
        <f>SUM(N14:W14)</f>
        <v>0</v>
      </c>
      <c r="Z14" s="49"/>
      <c r="AA14" s="49"/>
      <c r="AB14" s="53"/>
      <c r="AC14" s="49"/>
      <c r="AD14" s="49"/>
      <c r="AE14" s="49"/>
      <c r="AF14" s="49"/>
      <c r="AG14" s="49"/>
      <c r="AH14" s="49"/>
      <c r="AI14" s="49"/>
      <c r="AJ14" s="55">
        <f>SUM(Z14:AI14)</f>
        <v>0</v>
      </c>
      <c r="AL14" s="26"/>
      <c r="AM14" s="82" t="s">
        <v>9</v>
      </c>
      <c r="AN14" s="154">
        <f aca="true" t="shared" si="2" ref="AN14:AN15">B14+N14+Z14</f>
        <v>0</v>
      </c>
      <c r="AO14" s="154">
        <f aca="true" t="shared" si="3" ref="AO14:AO27">C14+O14+AA14</f>
        <v>0</v>
      </c>
      <c r="AP14" s="154">
        <f aca="true" t="shared" si="4" ref="AP14:AP27">D14+P14+AB14</f>
        <v>0</v>
      </c>
      <c r="AQ14" s="154">
        <f aca="true" t="shared" si="5" ref="AQ14:AQ27">E14+Q14+AC14</f>
        <v>0</v>
      </c>
      <c r="AR14" s="154">
        <f aca="true" t="shared" si="6" ref="AR14:AR27">F14+R14+AD14</f>
        <v>0</v>
      </c>
      <c r="AS14" s="154">
        <f aca="true" t="shared" si="7" ref="AS14:AS27">G14+S14+AE14</f>
        <v>0</v>
      </c>
      <c r="AT14" s="154">
        <f aca="true" t="shared" si="8" ref="AT14:AT27">H14+T14+AF14</f>
        <v>0</v>
      </c>
      <c r="AU14" s="154">
        <f aca="true" t="shared" si="9" ref="AU14:AU27">I14+U14+AG14</f>
        <v>0</v>
      </c>
      <c r="AV14" s="154">
        <f aca="true" t="shared" si="10" ref="AV14:AV27">J14+V14+AH14</f>
        <v>0</v>
      </c>
      <c r="AW14" s="154">
        <f aca="true" t="shared" si="11" ref="AW14:AW27">K14+W14+AI14</f>
        <v>0</v>
      </c>
      <c r="AX14" s="157">
        <f>SUM(AN14:AW14)</f>
        <v>0</v>
      </c>
      <c r="AY14" s="4">
        <f>-100*AX14/AX$28</f>
        <v>0</v>
      </c>
      <c r="AZ14" s="4"/>
    </row>
    <row r="15" spans="1:52" ht="12.75">
      <c r="A15" s="48" t="s">
        <v>13</v>
      </c>
      <c r="B15" s="49"/>
      <c r="C15" s="49"/>
      <c r="D15" s="49"/>
      <c r="E15" s="49"/>
      <c r="F15" s="49"/>
      <c r="G15" s="49"/>
      <c r="H15" s="49"/>
      <c r="I15" s="49"/>
      <c r="J15" s="49"/>
      <c r="K15" s="49"/>
      <c r="L15" s="55">
        <f aca="true" t="shared" si="12" ref="L15:L27">SUM(B15:K15)</f>
        <v>0</v>
      </c>
      <c r="N15" s="180"/>
      <c r="O15" s="180"/>
      <c r="P15" s="180"/>
      <c r="Q15" s="180"/>
      <c r="R15" s="180"/>
      <c r="S15" s="180"/>
      <c r="T15" s="180"/>
      <c r="U15" s="180"/>
      <c r="V15" s="49"/>
      <c r="W15" s="49"/>
      <c r="X15" s="55">
        <f aca="true" t="shared" si="13" ref="X15:X27">SUM(N15:W15)</f>
        <v>0</v>
      </c>
      <c r="Z15" s="49"/>
      <c r="AA15" s="49"/>
      <c r="AB15" s="49"/>
      <c r="AC15" s="49"/>
      <c r="AD15" s="49"/>
      <c r="AE15" s="49"/>
      <c r="AF15" s="49"/>
      <c r="AG15" s="49"/>
      <c r="AH15" s="49"/>
      <c r="AI15" s="49"/>
      <c r="AJ15" s="55">
        <f aca="true" t="shared" si="14" ref="AJ15:AJ27">SUM(Z15:AI15)</f>
        <v>0</v>
      </c>
      <c r="AL15" s="26"/>
      <c r="AM15" s="78" t="s">
        <v>13</v>
      </c>
      <c r="AN15" s="154">
        <f t="shared" si="2"/>
        <v>0</v>
      </c>
      <c r="AO15" s="154">
        <f t="shared" si="3"/>
        <v>0</v>
      </c>
      <c r="AP15" s="154">
        <f t="shared" si="4"/>
        <v>0</v>
      </c>
      <c r="AQ15" s="154">
        <f t="shared" si="5"/>
        <v>0</v>
      </c>
      <c r="AR15" s="154">
        <f t="shared" si="6"/>
        <v>0</v>
      </c>
      <c r="AS15" s="154">
        <f t="shared" si="7"/>
        <v>0</v>
      </c>
      <c r="AT15" s="154">
        <f t="shared" si="8"/>
        <v>0</v>
      </c>
      <c r="AU15" s="154">
        <f t="shared" si="9"/>
        <v>0</v>
      </c>
      <c r="AV15" s="154">
        <f t="shared" si="10"/>
        <v>0</v>
      </c>
      <c r="AW15" s="154">
        <f t="shared" si="11"/>
        <v>0</v>
      </c>
      <c r="AX15" s="157">
        <f aca="true" t="shared" si="15" ref="AX15:AX27">SUM(AN15:AW15)</f>
        <v>0</v>
      </c>
      <c r="AY15" s="4"/>
      <c r="AZ15" s="4"/>
    </row>
    <row r="16" spans="1:54" ht="14.25">
      <c r="A16" s="48" t="s">
        <v>10</v>
      </c>
      <c r="B16" s="49">
        <f>-($C$4/B$4)*Mtoe!AA23*(B74*(100-B131)/10)</f>
        <v>133.41001953125001</v>
      </c>
      <c r="C16" s="49">
        <f>-($C$4/C$4)*Mtoe!AB23*(C74*(100-C131)/10)</f>
        <v>0</v>
      </c>
      <c r="D16" s="49">
        <f>-($C$4/D$4)*Mtoe!AC23*(D74*(100-D131)/10)</f>
        <v>0.5476</v>
      </c>
      <c r="E16" s="49">
        <f>-($C$4/E$4)*Mtoe!AD23*(E74*(100-E131)/10)</f>
        <v>0</v>
      </c>
      <c r="F16" s="49"/>
      <c r="G16" s="49"/>
      <c r="H16" s="49"/>
      <c r="I16" s="49">
        <f>-($C$4/I$4)*Mtoe!AH23*(I74*(100-I131)/10)</f>
        <v>6.483785714285715</v>
      </c>
      <c r="J16" s="49"/>
      <c r="K16" s="49"/>
      <c r="L16" s="55">
        <f t="shared" si="12"/>
        <v>140.44140524553572</v>
      </c>
      <c r="N16" s="49">
        <f>-($C$4/B$4)*Mtoe!AA23*((130/32)*(N74*(100-N131)/10))</f>
        <v>5961.760247802735</v>
      </c>
      <c r="O16" s="49">
        <f>-($C$4/C$4)*Mtoe!AB23*((130/32)*(O74*(100-O131)/10))</f>
        <v>0</v>
      </c>
      <c r="P16" s="49">
        <f>-($C$4/D$4)*Mtoe!AC23*((130/32)*(P74*(100-P131)/10))</f>
        <v>458.82890625</v>
      </c>
      <c r="Q16" s="49">
        <f>-($C$4/E$4)*Mtoe!E23*((130/32)*(Q74*(100-Q131)/10))</f>
        <v>0</v>
      </c>
      <c r="R16" s="49"/>
      <c r="S16" s="49"/>
      <c r="T16" s="49"/>
      <c r="U16" s="49">
        <f>-($C$4/I$4)*Mtoe!AH23*((130/32)*(U74*(100-U131)/10))</f>
        <v>0</v>
      </c>
      <c r="V16" s="49"/>
      <c r="W16" s="87"/>
      <c r="X16" s="55">
        <f t="shared" si="13"/>
        <v>6420.589154052735</v>
      </c>
      <c r="Z16" s="49">
        <f>-Mtoe!AA23*(Z74*(100-Z131)/100000)</f>
        <v>0.18773299999999998</v>
      </c>
      <c r="AA16" s="49">
        <f>-Mtoe!AB23*(AA74*(100-AA131)/100000)</f>
        <v>0</v>
      </c>
      <c r="AB16" s="49">
        <f>-Mtoe!AC23*(AB74*(100-AB131)/100000)</f>
        <v>0.41069999999999995</v>
      </c>
      <c r="AC16" s="180">
        <f>-Mtoe!AD23*(AC74*(100-AC131)/100000)</f>
        <v>14.308900000000001</v>
      </c>
      <c r="AD16" s="49">
        <f>-Mtoe!F23*(AD74*(100-AD131)/100000)</f>
        <v>0</v>
      </c>
      <c r="AE16" s="49">
        <f>-Mtoe!G23*(AE74*(100-AE131)/100000)</f>
        <v>0</v>
      </c>
      <c r="AF16" s="49">
        <f>-Mtoe!H23*(AF74*(100-AF131)/100000)</f>
        <v>0</v>
      </c>
      <c r="AG16" s="49">
        <f>-Mtoe!AH23*(AG74*(100-AG131)/100000)</f>
        <v>0.06333</v>
      </c>
      <c r="AH16" s="49"/>
      <c r="AI16" s="87"/>
      <c r="AJ16" s="55">
        <f t="shared" si="14"/>
        <v>14.970663000000002</v>
      </c>
      <c r="AL16" s="26"/>
      <c r="AM16" s="78" t="s">
        <v>10</v>
      </c>
      <c r="AN16" s="154">
        <f>B16+N16+Z16</f>
        <v>6095.358000333985</v>
      </c>
      <c r="AO16" s="154">
        <f t="shared" si="3"/>
        <v>0</v>
      </c>
      <c r="AP16" s="154">
        <f t="shared" si="4"/>
        <v>459.78720625</v>
      </c>
      <c r="AQ16" s="154">
        <f t="shared" si="5"/>
        <v>14.308900000000001</v>
      </c>
      <c r="AR16" s="154">
        <f t="shared" si="6"/>
        <v>0</v>
      </c>
      <c r="AS16" s="154">
        <f t="shared" si="7"/>
        <v>0</v>
      </c>
      <c r="AT16" s="154">
        <f t="shared" si="8"/>
        <v>0</v>
      </c>
      <c r="AU16" s="154">
        <f t="shared" si="9"/>
        <v>6.547115714285715</v>
      </c>
      <c r="AV16" s="154">
        <f t="shared" si="10"/>
        <v>0</v>
      </c>
      <c r="AW16" s="154">
        <f t="shared" si="11"/>
        <v>0</v>
      </c>
      <c r="AX16" s="889">
        <f t="shared" si="15"/>
        <v>6576.0012222982705</v>
      </c>
      <c r="AY16" s="917">
        <f aca="true" t="shared" si="16" ref="AY16:AY18">100*AX16/AX$12</f>
        <v>30.13515941913254</v>
      </c>
      <c r="AZ16" s="917" t="s">
        <v>94</v>
      </c>
      <c r="BA16" s="917" t="s">
        <v>95</v>
      </c>
      <c r="BB16" s="918"/>
    </row>
    <row r="17" spans="1:54" ht="12.75">
      <c r="A17" s="48" t="s">
        <v>11</v>
      </c>
      <c r="B17" s="49">
        <f>-($C$4/B$4)*Mtoe!AA24*(B75*(100-B132)/10)</f>
        <v>57.50830078125001</v>
      </c>
      <c r="C17" s="49">
        <f>-($C$4/C$4)*Mtoe!AB24*(C75*(100-C132)/10)</f>
        <v>0</v>
      </c>
      <c r="D17" s="49">
        <f>-($C$4/D$4)*Mtoe!AC24*(D75*(100-D132)/10)</f>
        <v>0.40399999999999997</v>
      </c>
      <c r="E17" s="49">
        <f>-($C$4/E$4)*Mtoe!AD24*(E75*(100-E132)/10)</f>
        <v>0</v>
      </c>
      <c r="F17" s="49"/>
      <c r="G17" s="49"/>
      <c r="H17" s="49"/>
      <c r="I17" s="49">
        <f>-($C$4/I$4)*Mtoe!AH24*(I75*(100-I132)/10)</f>
        <v>30.19214285714286</v>
      </c>
      <c r="J17" s="49"/>
      <c r="K17" s="49"/>
      <c r="L17" s="55">
        <f t="shared" si="12"/>
        <v>88.10444363839287</v>
      </c>
      <c r="N17" s="49">
        <f>-($C$4/B$4)*Mtoe!AA24*((130/32)*(N75*(100-N132)/10))</f>
        <v>3551.137573242188</v>
      </c>
      <c r="O17" s="49">
        <f>-($C$4/C$4)*Mtoe!AB24*((130/32)*(O75*(100-O132)/10))</f>
        <v>0</v>
      </c>
      <c r="P17" s="49">
        <f>-($C$4/D$4)*Mtoe!AC24*((130/32)*(P75*(100-P132)/10))</f>
        <v>467.75624999999997</v>
      </c>
      <c r="Q17" s="49">
        <f>-($C$4/E$4)*Mtoe!E24*((130/32)*(Q75*(100-Q132)/10))</f>
        <v>0</v>
      </c>
      <c r="R17" s="49"/>
      <c r="S17" s="49"/>
      <c r="T17" s="49"/>
      <c r="U17" s="49">
        <f>-($C$4/I$4)*Mtoe!AH24*((130/32)*(U75*(100-U132)/10))</f>
        <v>0</v>
      </c>
      <c r="V17" s="53"/>
      <c r="W17" s="49"/>
      <c r="X17" s="55">
        <f t="shared" si="13"/>
        <v>4018.893823242188</v>
      </c>
      <c r="Z17" s="49">
        <f>-Mtoe!AA24*(Z75*(100-Z132)/100000)</f>
        <v>0.18986250000000002</v>
      </c>
      <c r="AA17" s="49">
        <f>-Mtoe!AB24*(AA75*(100-AA132)/100000)</f>
        <v>0</v>
      </c>
      <c r="AB17" s="49">
        <f>-Mtoe!AC24*(AB75*(100-AB132)/100000)</f>
        <v>0.40399999999999997</v>
      </c>
      <c r="AC17" s="180">
        <f>-Mtoe!AD24*(AC75*(100-AC132)/100000)</f>
        <v>14.3904</v>
      </c>
      <c r="AD17" s="49">
        <f>-Mtoe!F24*(AD75*(100-AD132)/100000)</f>
        <v>0</v>
      </c>
      <c r="AE17" s="49">
        <f>-Mtoe!G24*(AE75*(100-AE132)/100000)</f>
        <v>0</v>
      </c>
      <c r="AF17" s="49">
        <f>-Mtoe!H24*(AF75*(100-AF132)/100000)</f>
        <v>0</v>
      </c>
      <c r="AG17" s="49">
        <f>-Mtoe!AH24*(AG75*(100-AG132)/100000)</f>
        <v>0.7864</v>
      </c>
      <c r="AH17" s="53"/>
      <c r="AI17" s="49"/>
      <c r="AJ17" s="55">
        <f t="shared" si="14"/>
        <v>15.7706625</v>
      </c>
      <c r="AL17" s="26"/>
      <c r="AM17" s="78" t="s">
        <v>11</v>
      </c>
      <c r="AN17" s="154">
        <f aca="true" t="shared" si="17" ref="AN17:AN27">B17+N17+Z17</f>
        <v>3608.835736523438</v>
      </c>
      <c r="AO17" s="154">
        <f t="shared" si="3"/>
        <v>0</v>
      </c>
      <c r="AP17" s="154">
        <f t="shared" si="4"/>
        <v>468.56424999999996</v>
      </c>
      <c r="AQ17" s="154">
        <f t="shared" si="5"/>
        <v>14.3904</v>
      </c>
      <c r="AR17" s="154">
        <f t="shared" si="6"/>
        <v>0</v>
      </c>
      <c r="AS17" s="154">
        <f t="shared" si="7"/>
        <v>0</v>
      </c>
      <c r="AT17" s="154">
        <f t="shared" si="8"/>
        <v>0</v>
      </c>
      <c r="AU17" s="154">
        <f t="shared" si="9"/>
        <v>30.97854285714286</v>
      </c>
      <c r="AV17" s="154">
        <f t="shared" si="10"/>
        <v>0</v>
      </c>
      <c r="AW17" s="154">
        <f t="shared" si="11"/>
        <v>0</v>
      </c>
      <c r="AX17" s="889">
        <f t="shared" si="15"/>
        <v>4122.768929380581</v>
      </c>
      <c r="AY17" s="917">
        <f ca="1" t="shared" si="16"/>
        <v>18.892985985746055</v>
      </c>
      <c r="AZ17" s="917" t="s">
        <v>94</v>
      </c>
      <c r="BA17" s="917" t="s">
        <v>95</v>
      </c>
      <c r="BB17" s="918"/>
    </row>
    <row r="18" spans="1:54" ht="12.75">
      <c r="A18" s="48" t="s">
        <v>12</v>
      </c>
      <c r="B18" s="49">
        <f>-($C$4/B$4)*Mtoe!AA25*(B76*(100-B133)/10)</f>
        <v>41.1103515625</v>
      </c>
      <c r="C18" s="49">
        <f>-($C$4/C$4)*Mtoe!AB25*(C76*(100-C133)/10)</f>
        <v>0</v>
      </c>
      <c r="D18" s="49">
        <f>-($C$4/D$4)*Mtoe!AC25*(D76*(100-D133)/10)</f>
        <v>0.037200000000000004</v>
      </c>
      <c r="E18" s="49">
        <f>-($C$4/E$4)*Mtoe!AD25*(E76*(100-E133)/10)</f>
        <v>0</v>
      </c>
      <c r="F18" s="49"/>
      <c r="G18" s="49"/>
      <c r="H18" s="49"/>
      <c r="I18" s="49">
        <f>-($C$4/I$4)*Mtoe!AH25*(I76*(100-I133)/10)</f>
        <v>13.176428571428572</v>
      </c>
      <c r="J18" s="49"/>
      <c r="K18" s="49"/>
      <c r="L18" s="55">
        <f t="shared" si="12"/>
        <v>54.32398013392857</v>
      </c>
      <c r="N18" s="49">
        <f>-($C$4/B$4)*Mtoe!AA25*((130/32)*(N76*(100-N133)/10))</f>
        <v>334.02160644531256</v>
      </c>
      <c r="O18" s="49">
        <f>-($C$4/C$4)*Mtoe!AB25*((130/32)*(O76*(100-O133)/10))</f>
        <v>0</v>
      </c>
      <c r="P18" s="49">
        <f>-($C$4/D$4)*Mtoe!AC25*((130/32)*(P76*(100-P133)/10))</f>
        <v>56.671875</v>
      </c>
      <c r="Q18" s="49">
        <f>-($C$4/E$4)*Mtoe!E25*((130/32)*(Q76*(100-Q133)/10))</f>
        <v>0</v>
      </c>
      <c r="R18" s="49"/>
      <c r="S18" s="49"/>
      <c r="T18" s="49"/>
      <c r="U18" s="49">
        <f>-($C$4/I$4)*Mtoe!AH25*((130/32)*(U76*(100-U133)/10))</f>
        <v>0</v>
      </c>
      <c r="V18" s="49"/>
      <c r="W18" s="49"/>
      <c r="X18" s="55">
        <f t="shared" si="13"/>
        <v>390.69348144531256</v>
      </c>
      <c r="Z18" s="49">
        <f>-Mtoe!AA25*(Z76*(100-Z133)/100000)</f>
        <v>0.22250000000000003</v>
      </c>
      <c r="AA18" s="49">
        <f>-Mtoe!AB25*(AA76*(100-AA133)/100000)</f>
        <v>0</v>
      </c>
      <c r="AB18" s="49">
        <f>-Mtoe!AC25*(AB76*(100-AB133)/100000)</f>
        <v>0.0558</v>
      </c>
      <c r="AC18" s="180">
        <f>-Mtoe!AD25*(AC76*(100-AC133)/100000)</f>
        <v>2.672</v>
      </c>
      <c r="AD18" s="49">
        <f>-Mtoe!F25*(AD76*(100-AD133)/100000)</f>
        <v>0</v>
      </c>
      <c r="AE18" s="49"/>
      <c r="AF18" s="49">
        <f>-Mtoe!H25*(AF76*(100-AF133)/100000)</f>
        <v>0</v>
      </c>
      <c r="AG18" s="49">
        <f>-Mtoe!AH25*(AG76*(100-AG133)/100000)</f>
        <v>1.287</v>
      </c>
      <c r="AH18" s="49"/>
      <c r="AI18" s="49"/>
      <c r="AJ18" s="55">
        <f t="shared" si="14"/>
        <v>4.2373</v>
      </c>
      <c r="AL18" s="26"/>
      <c r="AM18" s="78" t="s">
        <v>12</v>
      </c>
      <c r="AN18" s="154">
        <f t="shared" si="17"/>
        <v>375.3544580078126</v>
      </c>
      <c r="AO18" s="154">
        <f t="shared" si="3"/>
        <v>0</v>
      </c>
      <c r="AP18" s="154">
        <f t="shared" si="4"/>
        <v>56.764874999999996</v>
      </c>
      <c r="AQ18" s="154">
        <f t="shared" si="5"/>
        <v>2.672</v>
      </c>
      <c r="AR18" s="154">
        <f t="shared" si="6"/>
        <v>0</v>
      </c>
      <c r="AS18" s="154">
        <f t="shared" si="7"/>
        <v>0</v>
      </c>
      <c r="AT18" s="154">
        <f t="shared" si="8"/>
        <v>0</v>
      </c>
      <c r="AU18" s="154">
        <f t="shared" si="9"/>
        <v>14.463428571428572</v>
      </c>
      <c r="AV18" s="154">
        <f t="shared" si="10"/>
        <v>0</v>
      </c>
      <c r="AW18" s="154">
        <f t="shared" si="11"/>
        <v>0</v>
      </c>
      <c r="AX18" s="889">
        <f t="shared" si="15"/>
        <v>449.2547615792412</v>
      </c>
      <c r="AY18" s="917">
        <f ca="1" t="shared" si="16"/>
        <v>2.0587532456788744</v>
      </c>
      <c r="AZ18" s="917" t="s">
        <v>94</v>
      </c>
      <c r="BA18" s="917" t="s">
        <v>95</v>
      </c>
      <c r="BB18" s="918"/>
    </row>
    <row r="19" spans="1:52" ht="12.75">
      <c r="A19" s="247" t="s">
        <v>229</v>
      </c>
      <c r="B19" s="49">
        <f>-($C$4/B$4)*Mtoe!AA26*(B77*(100-B134)/10)</f>
        <v>264.584375</v>
      </c>
      <c r="C19" s="49">
        <f>-($C$4/C$4)*Mtoe!AB26*(C77*(100-C134)/10)</f>
        <v>0</v>
      </c>
      <c r="D19" s="49">
        <f>-($C$4/D$4)*Mtoe!AC26*(D77*(100-D134)/10)</f>
        <v>0.0992</v>
      </c>
      <c r="E19" s="49">
        <f>-($C$4/E$4)*Mtoe!AD26*(E77*(100-E134)/10)</f>
        <v>0</v>
      </c>
      <c r="F19" s="49"/>
      <c r="G19" s="49"/>
      <c r="H19" s="49"/>
      <c r="I19" s="49">
        <f>-($C$4/I$4)*Mtoe!AH26*(I77*(100-I134)/10)</f>
        <v>0</v>
      </c>
      <c r="J19" s="49"/>
      <c r="K19" s="49"/>
      <c r="L19" s="55">
        <f t="shared" si="12"/>
        <v>264.683575</v>
      </c>
      <c r="N19" s="49">
        <f>-($C$4/B$4)*Mtoe!AA26*((130/32)*(N77*(100-N134)/10))</f>
        <v>1074.8740234375002</v>
      </c>
      <c r="O19" s="49">
        <f>-($C$4/C$4)*Mtoe!AB26*((130/32)*(O77*(100-O134)/10))</f>
        <v>0</v>
      </c>
      <c r="P19" s="49">
        <f>-($C$4/D$4)*Mtoe!AC26*((130/32)*(P77*(100-P134)/10))</f>
        <v>37.78125</v>
      </c>
      <c r="Q19" s="49">
        <f>-($C$4/E$4)*Mtoe!E26*((130/32)*(Q77*(100-Q134)/10))</f>
        <v>0</v>
      </c>
      <c r="R19" s="49"/>
      <c r="S19" s="49"/>
      <c r="T19" s="49"/>
      <c r="U19" s="49">
        <f>-($C$4/I$4)*Mtoe!AH26*((130/32)*(U77*(100-U134)/10))</f>
        <v>0</v>
      </c>
      <c r="V19" s="49"/>
      <c r="W19" s="49"/>
      <c r="X19" s="55"/>
      <c r="Z19" s="49">
        <f>-Mtoe!AA26*(Z77*(100-Z134)/100000)</f>
        <v>4.296</v>
      </c>
      <c r="AA19" s="49">
        <f>-Mtoe!AB26*(AA77*(100-AA134)/100000)</f>
        <v>0</v>
      </c>
      <c r="AB19" s="49">
        <f>-Mtoe!AC26*(AB77*(100-AB134)/100000)</f>
        <v>0</v>
      </c>
      <c r="AC19" s="180">
        <f>-Mtoe!AD26*(AC77*(100-AC134)/100000)</f>
        <v>0</v>
      </c>
      <c r="AD19" s="49">
        <f>-Mtoe!F26*(AD77*(100-AD134)/100000)</f>
        <v>0</v>
      </c>
      <c r="AE19" s="49">
        <f>-Mtoe!G26*(AE77*(100-AE134)/100000)</f>
        <v>0</v>
      </c>
      <c r="AF19" s="49">
        <f>-Mtoe!H26*(AF77*(100-AF134)/100000)</f>
        <v>0</v>
      </c>
      <c r="AG19" s="49">
        <f>-Mtoe!AH26*(AG77*(100-AG134)/100000)</f>
        <v>0</v>
      </c>
      <c r="AH19" s="49"/>
      <c r="AI19" s="49"/>
      <c r="AJ19" s="55"/>
      <c r="AL19" s="26"/>
      <c r="AM19" s="78" t="s">
        <v>229</v>
      </c>
      <c r="AN19" s="154">
        <f t="shared" si="17"/>
        <v>1343.7543984375004</v>
      </c>
      <c r="AO19" s="154">
        <f t="shared" si="3"/>
        <v>0</v>
      </c>
      <c r="AP19" s="154">
        <f t="shared" si="4"/>
        <v>37.88045</v>
      </c>
      <c r="AQ19" s="154">
        <f t="shared" si="5"/>
        <v>0</v>
      </c>
      <c r="AR19" s="154">
        <f t="shared" si="6"/>
        <v>0</v>
      </c>
      <c r="AS19" s="154">
        <f t="shared" si="7"/>
        <v>0</v>
      </c>
      <c r="AT19" s="154">
        <f t="shared" si="8"/>
        <v>0</v>
      </c>
      <c r="AU19" s="154">
        <f t="shared" si="9"/>
        <v>0</v>
      </c>
      <c r="AV19" s="154">
        <f t="shared" si="10"/>
        <v>0</v>
      </c>
      <c r="AW19" s="154">
        <f t="shared" si="11"/>
        <v>0</v>
      </c>
      <c r="AX19" s="157"/>
      <c r="AY19" s="141"/>
      <c r="AZ19" s="141"/>
    </row>
    <row r="20" spans="1:52" ht="12.75">
      <c r="A20" s="212" t="s">
        <v>14</v>
      </c>
      <c r="B20" s="49">
        <f>-($C$4/B$4)*Mtoe!AA27*(B78*(100-B135)/10)</f>
        <v>3.1410156250000005</v>
      </c>
      <c r="C20" s="49">
        <f>-($C$4/C$4)*Mtoe!AB27*(C78*(100-C135)/10)</f>
        <v>0</v>
      </c>
      <c r="D20" s="49">
        <f>-($C$4/D$4)*Mtoe!AC27*(D78*(100-D135)/10)</f>
        <v>0.008</v>
      </c>
      <c r="E20" s="49">
        <f>-($C$4/E$4)*Mtoe!AD27*(E78*(100-E135)/10)</f>
        <v>0</v>
      </c>
      <c r="F20" s="49"/>
      <c r="G20" s="49"/>
      <c r="H20" s="49"/>
      <c r="I20" s="49">
        <f>-($C$4/I$4)*Mtoe!AH27*(I78*(100-I135)/10)</f>
        <v>0.03071428571428572</v>
      </c>
      <c r="J20" s="49"/>
      <c r="K20" s="49"/>
      <c r="L20" s="55">
        <f t="shared" si="12"/>
        <v>3.1797299107142862</v>
      </c>
      <c r="N20" s="49">
        <f>-($C$4/B$4)*Mtoe!AA27*((130/32)*(N78*(100-N135)/10))</f>
        <v>2.5520751953125003</v>
      </c>
      <c r="O20" s="49">
        <f>-($C$4/C$4)*Mtoe!AB27*((130/32)*(O78*(100-O135)/10))</f>
        <v>0</v>
      </c>
      <c r="P20" s="49">
        <f>-($C$4/D$4)*Mtoe!AC27*((130/32)*(P78*(100-P135)/10))</f>
        <v>12.1875</v>
      </c>
      <c r="Q20" s="49">
        <f>-($C$4/E$4)*Mtoe!E27*((130/32)*(Q78*(100-Q135)/10))</f>
        <v>0</v>
      </c>
      <c r="R20" s="49"/>
      <c r="S20" s="49"/>
      <c r="T20" s="49"/>
      <c r="U20" s="49">
        <f>-($C$4/I$4)*Mtoe!AH27*((130/32)*(U78*(100-U135)/10))</f>
        <v>0</v>
      </c>
      <c r="V20" s="49"/>
      <c r="W20" s="49"/>
      <c r="X20" s="55">
        <f t="shared" si="13"/>
        <v>14.7395751953125</v>
      </c>
      <c r="Z20" s="49">
        <f>-Mtoe!AA27*(Z78*(100-Z135)/100000)</f>
        <v>0.051000000000000004</v>
      </c>
      <c r="AA20" s="49">
        <f>-Mtoe!AB27*(AA78*(100-AA135)/100000)</f>
        <v>0</v>
      </c>
      <c r="AB20" s="49">
        <f>-Mtoe!AC27*(AB78*(100-AB135)/100000)</f>
        <v>0</v>
      </c>
      <c r="AC20" s="49"/>
      <c r="AD20" s="49">
        <f>-Mtoe!F27*(AD78*(100-AD135)/100000)</f>
        <v>0</v>
      </c>
      <c r="AE20" s="49">
        <f>-Mtoe!G27*(AE78*(100-AE135)/100000)</f>
        <v>0</v>
      </c>
      <c r="AF20" s="49">
        <f>-Mtoe!H27*(AF78*(100-AF135)/100000)</f>
        <v>0</v>
      </c>
      <c r="AG20" s="49">
        <f>-Mtoe!AH27*(AG78*(100-AG135)/100000)</f>
        <v>0</v>
      </c>
      <c r="AH20" s="49"/>
      <c r="AI20" s="49"/>
      <c r="AJ20" s="55">
        <f t="shared" si="14"/>
        <v>0.051000000000000004</v>
      </c>
      <c r="AL20" s="26"/>
      <c r="AM20" s="78" t="s">
        <v>14</v>
      </c>
      <c r="AN20" s="154">
        <f t="shared" si="17"/>
        <v>5.7440908203125005</v>
      </c>
      <c r="AO20" s="154">
        <f t="shared" si="3"/>
        <v>0</v>
      </c>
      <c r="AP20" s="154">
        <f t="shared" si="4"/>
        <v>12.1955</v>
      </c>
      <c r="AQ20" s="154">
        <f t="shared" si="5"/>
        <v>0</v>
      </c>
      <c r="AR20" s="154">
        <f t="shared" si="6"/>
        <v>0</v>
      </c>
      <c r="AS20" s="154">
        <f t="shared" si="7"/>
        <v>0</v>
      </c>
      <c r="AT20" s="154">
        <f t="shared" si="8"/>
        <v>0</v>
      </c>
      <c r="AU20" s="154">
        <f t="shared" si="9"/>
        <v>0.03071428571428572</v>
      </c>
      <c r="AV20" s="154">
        <f t="shared" si="10"/>
        <v>0</v>
      </c>
      <c r="AW20" s="154">
        <f t="shared" si="11"/>
        <v>0</v>
      </c>
      <c r="AX20" s="157">
        <f t="shared" si="15"/>
        <v>17.970305106026785</v>
      </c>
      <c r="AY20" s="4">
        <f ca="1">100*AX20/AX$12</f>
        <v>0.0823506551890975</v>
      </c>
      <c r="AZ20" s="4" t="s">
        <v>94</v>
      </c>
    </row>
    <row r="21" spans="1:52" ht="12.75">
      <c r="A21" s="247" t="s">
        <v>232</v>
      </c>
      <c r="B21" s="49">
        <f>-($C$4/B$4)*Mtoe!AA28*(B79*(100-B136)/10)</f>
        <v>0</v>
      </c>
      <c r="C21" s="49"/>
      <c r="D21" s="49">
        <f>-($C$4/D$4)*Mtoe!AK28*(D79*(100-D136)/10)</f>
        <v>0.23399999999999638</v>
      </c>
      <c r="E21" s="49">
        <f>-($C$4/E$4)*Mtoe!AD28*(E79*(100-E136)/10)</f>
        <v>0</v>
      </c>
      <c r="F21" s="49"/>
      <c r="G21" s="49"/>
      <c r="H21" s="49"/>
      <c r="I21" s="49">
        <f>-($C$4/I$4)*Mtoe!AH28*(I79*(100-I136)/10)</f>
        <v>0</v>
      </c>
      <c r="J21" s="49"/>
      <c r="K21" s="49"/>
      <c r="L21" s="55">
        <f t="shared" si="12"/>
        <v>0.23399999999999638</v>
      </c>
      <c r="N21" s="49">
        <f>-($C$4/B$4)*Mtoe!AA28*((130/32)*(N79*(100-N136)/10))</f>
        <v>0</v>
      </c>
      <c r="O21" s="49"/>
      <c r="P21" s="49">
        <f>-($C$4/D$4)*Mtoe!AK28*((130/32)*(P79*(100-P136)/10))</f>
        <v>35.648437499999446</v>
      </c>
      <c r="Q21" s="49">
        <f>-($C$4/E$4)*Mtoe!E28*((130/32)*(Q79*(100-Q136)/10))</f>
        <v>0</v>
      </c>
      <c r="R21" s="49"/>
      <c r="S21" s="49"/>
      <c r="T21" s="49"/>
      <c r="U21" s="49">
        <f>-($C$4/I$4)*Mtoe!AH28*((130/32)*(U79*(100-U136)/10))</f>
        <v>0</v>
      </c>
      <c r="V21" s="49"/>
      <c r="W21" s="49"/>
      <c r="X21" s="55">
        <f t="shared" si="13"/>
        <v>35.648437499999446</v>
      </c>
      <c r="Z21" s="49">
        <f>-Mtoe!AA28*(Z79*(100-Z136)/100000)</f>
        <v>0</v>
      </c>
      <c r="AA21" s="49"/>
      <c r="AB21" s="49">
        <f>-Mtoe!AK28*(AB79*(100-AB136)/100000)</f>
        <v>0.11699999999999819</v>
      </c>
      <c r="AC21" s="49">
        <f>-Mtoe!AD28*(AC79*(100-AC136)/100000)</f>
        <v>0</v>
      </c>
      <c r="AD21" s="49">
        <f>-Mtoe!F28*(AD79*(100-AD136)/100000)</f>
        <v>0</v>
      </c>
      <c r="AE21" s="49">
        <f>-Mtoe!G28*(AE79*(100-AE136)/100000)</f>
        <v>0</v>
      </c>
      <c r="AF21" s="49">
        <f>-Mtoe!H28*(AF79*(100-AF136)/100000)</f>
        <v>0</v>
      </c>
      <c r="AG21" s="49">
        <f>-Mtoe!AH28*(AG79*(100-AG136)/100000)</f>
        <v>0</v>
      </c>
      <c r="AH21" s="49"/>
      <c r="AI21" s="49"/>
      <c r="AJ21" s="55">
        <f t="shared" si="14"/>
        <v>0.11699999999999819</v>
      </c>
      <c r="AL21" s="26"/>
      <c r="AM21" s="78" t="s">
        <v>232</v>
      </c>
      <c r="AN21" s="154">
        <f t="shared" si="17"/>
        <v>0</v>
      </c>
      <c r="AO21" s="154">
        <f t="shared" si="3"/>
        <v>0</v>
      </c>
      <c r="AP21" s="154">
        <f t="shared" si="4"/>
        <v>35.99943749999944</v>
      </c>
      <c r="AQ21" s="154">
        <f t="shared" si="5"/>
        <v>0</v>
      </c>
      <c r="AR21" s="154">
        <f t="shared" si="6"/>
        <v>0</v>
      </c>
      <c r="AS21" s="154">
        <f t="shared" si="7"/>
        <v>0</v>
      </c>
      <c r="AT21" s="154">
        <f t="shared" si="8"/>
        <v>0</v>
      </c>
      <c r="AU21" s="154">
        <f t="shared" si="9"/>
        <v>0</v>
      </c>
      <c r="AV21" s="154">
        <f t="shared" si="10"/>
        <v>0</v>
      </c>
      <c r="AW21" s="154">
        <f t="shared" si="11"/>
        <v>0</v>
      </c>
      <c r="AX21" s="157">
        <f t="shared" si="15"/>
        <v>35.99943749999944</v>
      </c>
      <c r="AY21" s="4">
        <f aca="true" t="shared" si="18" ref="AY21:AY26">100*AX21/AX$12</f>
        <v>0.16497089209518628</v>
      </c>
      <c r="AZ21" t="s">
        <v>94</v>
      </c>
    </row>
    <row r="22" spans="1:52" ht="12.75">
      <c r="A22" s="212" t="s">
        <v>233</v>
      </c>
      <c r="B22" s="49">
        <f>-($C$4/B$4)*Mtoe!AA29*(B80*(100-B137)/10)</f>
        <v>0</v>
      </c>
      <c r="C22" s="49"/>
      <c r="D22" s="49">
        <f>-($C$4/D$4)*Mtoe!AK29*(D80*(100-D137)/10)</f>
        <v>0.0018799999999999954</v>
      </c>
      <c r="E22" s="49">
        <f>-($C$4/E$4)*Mtoe!AD29*(E80*(100-E137)/10)</f>
        <v>0</v>
      </c>
      <c r="F22" s="49"/>
      <c r="G22" s="49"/>
      <c r="H22" s="49"/>
      <c r="I22" s="49">
        <f>-($C$4/I$4)*Mtoe!AH29*(I80*(100-I137)/10)</f>
        <v>0</v>
      </c>
      <c r="J22" s="49"/>
      <c r="K22" s="49"/>
      <c r="L22" s="55"/>
      <c r="N22" s="49">
        <f>-($C$4/B$4)*Mtoe!AA29*((130/32)*(N80*(100-N137)/10))</f>
        <v>0</v>
      </c>
      <c r="O22" s="49"/>
      <c r="P22" s="49">
        <f>-($C$4/D$4)*Mtoe!AK29*((130/32)*(P80*(100-P137)/10))</f>
        <v>2.864062499999993</v>
      </c>
      <c r="Q22" s="49">
        <f>-($C$4/E$4)*Mtoe!E29*((130/32)*(Q80*(100-Q137)/10))</f>
        <v>0</v>
      </c>
      <c r="R22" s="49"/>
      <c r="S22" s="49"/>
      <c r="T22" s="49"/>
      <c r="U22" s="49">
        <f>-($C$4/I$4)*Mtoe!AH29*((130/32)*(U80*(100-U137)/10))</f>
        <v>0</v>
      </c>
      <c r="V22" s="49"/>
      <c r="W22" s="49"/>
      <c r="X22" s="55"/>
      <c r="Z22" s="49">
        <f>-Mtoe!AA29*(Z80*(100-Z137)/100000)</f>
        <v>0</v>
      </c>
      <c r="AA22" s="49"/>
      <c r="AB22" s="49">
        <f>-Mtoe!AK29*(AB80*(100-AB137)/100000)</f>
        <v>0</v>
      </c>
      <c r="AC22" s="49">
        <f>-Mtoe!AD29*(AC80*(100-AC137)/100000)</f>
        <v>0</v>
      </c>
      <c r="AD22" s="49">
        <f>-Mtoe!F29*(AD80*(100-AD137)/100000)</f>
        <v>0</v>
      </c>
      <c r="AE22" s="49">
        <f>-Mtoe!G29*(AE80*(100-AE137)/100000)</f>
        <v>0</v>
      </c>
      <c r="AF22" s="49">
        <f>-Mtoe!H29*(AF80*(100-AF137)/100000)</f>
        <v>0</v>
      </c>
      <c r="AG22" s="49">
        <f>-Mtoe!AH29*(AG80*(100-AG137)/100000)</f>
        <v>0</v>
      </c>
      <c r="AH22" s="49"/>
      <c r="AI22" s="49"/>
      <c r="AJ22" s="55"/>
      <c r="AL22" s="26"/>
      <c r="AM22" s="78" t="s">
        <v>233</v>
      </c>
      <c r="AN22" s="154">
        <f t="shared" si="17"/>
        <v>0</v>
      </c>
      <c r="AO22" s="154">
        <f t="shared" si="3"/>
        <v>0</v>
      </c>
      <c r="AP22" s="154">
        <f t="shared" si="4"/>
        <v>2.865942499999993</v>
      </c>
      <c r="AQ22" s="154">
        <f t="shared" si="5"/>
        <v>0</v>
      </c>
      <c r="AR22" s="154">
        <f t="shared" si="6"/>
        <v>0</v>
      </c>
      <c r="AS22" s="154">
        <f t="shared" si="7"/>
        <v>0</v>
      </c>
      <c r="AT22" s="154">
        <f t="shared" si="8"/>
        <v>0</v>
      </c>
      <c r="AU22" s="154">
        <f t="shared" si="9"/>
        <v>0</v>
      </c>
      <c r="AV22" s="154">
        <f t="shared" si="10"/>
        <v>0</v>
      </c>
      <c r="AW22" s="154">
        <f t="shared" si="11"/>
        <v>0</v>
      </c>
      <c r="AX22" s="157"/>
      <c r="AY22" s="4">
        <f ca="1" t="shared" si="18"/>
        <v>0</v>
      </c>
      <c r="AZ22" s="4"/>
    </row>
    <row r="23" spans="1:52" ht="12.75">
      <c r="A23" s="212" t="s">
        <v>231</v>
      </c>
      <c r="B23" s="49">
        <f>-($C$4/B$4)*Mtoe!AK30*(B81*(100-B138)/10)</f>
        <v>51.549609375</v>
      </c>
      <c r="C23" s="49">
        <f>-($C$4/C$4)*Mtoe!AB30*(C81*(100-C138)/10)</f>
        <v>0</v>
      </c>
      <c r="D23" s="49"/>
      <c r="E23" s="49">
        <f>-($C$4/E$4)*Mtoe!AD30*(E81*(100-E138)/10)</f>
        <v>0</v>
      </c>
      <c r="F23" s="49"/>
      <c r="G23" s="49"/>
      <c r="H23" s="49"/>
      <c r="I23" s="49">
        <f>-($C$4/I$4)*Mtoe!AH30*(I81*(100-I138)/10)</f>
        <v>0</v>
      </c>
      <c r="J23" s="49"/>
      <c r="K23" s="49"/>
      <c r="L23" s="55">
        <f t="shared" si="12"/>
        <v>51.549609375</v>
      </c>
      <c r="N23" s="49">
        <f>-($C$4/B$4)*Mtoe!AK30*((130/32)*(N81*(100-N138)/10))</f>
        <v>209.42028808593753</v>
      </c>
      <c r="O23" s="49">
        <f>-($C$4/C$4)*Mtoe!AB30*((130/32)*(O81*(100-O138)/10))</f>
        <v>0</v>
      </c>
      <c r="P23" s="49"/>
      <c r="Q23" s="49">
        <f>-($C$4/E$4)*Mtoe!E30*((130/32)*(Q81*(100-Q138)/10))</f>
        <v>0</v>
      </c>
      <c r="R23" s="49"/>
      <c r="S23" s="49"/>
      <c r="T23" s="49"/>
      <c r="U23" s="49">
        <f>-($C$4/I$4)*Mtoe!AH30*((130/32)*(U81*(100-U138)/10))</f>
        <v>0</v>
      </c>
      <c r="V23" s="49"/>
      <c r="W23" s="49"/>
      <c r="X23" s="55">
        <f t="shared" si="13"/>
        <v>209.42028808593753</v>
      </c>
      <c r="Z23" s="49">
        <f>-Mtoe!AK30*(Z81*(100-Z138)/100000)</f>
        <v>0.1674</v>
      </c>
      <c r="AA23" s="49">
        <f>-Mtoe!AB30*(AA81*(100-AA138)/100000)</f>
        <v>0</v>
      </c>
      <c r="AB23" s="49">
        <f>-Mtoe!AC30*(AB81*(100-AB138)/100000)</f>
        <v>0</v>
      </c>
      <c r="AC23" s="49">
        <f>-Mtoe!AD30*(AC81*(100-AC138)/100000)</f>
        <v>0</v>
      </c>
      <c r="AD23" s="49">
        <f>-Mtoe!F30*(AD81*(100-AD138)/100000)</f>
        <v>0</v>
      </c>
      <c r="AE23" s="49">
        <f>-Mtoe!G30*(AE81*(100-AE138)/100000)</f>
        <v>0</v>
      </c>
      <c r="AF23" s="49">
        <f>-Mtoe!H30*(AF81*(100-AF138)/100000)</f>
        <v>0</v>
      </c>
      <c r="AG23" s="49">
        <f>-Mtoe!AH30*(AG81*(100-AG138)/100000)</f>
        <v>0</v>
      </c>
      <c r="AH23" s="49"/>
      <c r="AI23" s="49"/>
      <c r="AJ23" s="55">
        <f t="shared" si="14"/>
        <v>0.1674</v>
      </c>
      <c r="AL23" s="26"/>
      <c r="AM23" s="78" t="s">
        <v>231</v>
      </c>
      <c r="AN23" s="154">
        <f t="shared" si="17"/>
        <v>261.13729746093753</v>
      </c>
      <c r="AO23" s="154">
        <f t="shared" si="3"/>
        <v>0</v>
      </c>
      <c r="AP23" s="154">
        <f t="shared" si="4"/>
        <v>0</v>
      </c>
      <c r="AQ23" s="154">
        <f t="shared" si="5"/>
        <v>0</v>
      </c>
      <c r="AR23" s="154">
        <f t="shared" si="6"/>
        <v>0</v>
      </c>
      <c r="AS23" s="154">
        <f t="shared" si="7"/>
        <v>0</v>
      </c>
      <c r="AT23" s="154">
        <f t="shared" si="8"/>
        <v>0</v>
      </c>
      <c r="AU23" s="154">
        <f t="shared" si="9"/>
        <v>0</v>
      </c>
      <c r="AV23" s="154">
        <f t="shared" si="10"/>
        <v>0</v>
      </c>
      <c r="AW23" s="154">
        <f t="shared" si="11"/>
        <v>0</v>
      </c>
      <c r="AX23" s="157">
        <f t="shared" si="15"/>
        <v>261.13729746093753</v>
      </c>
      <c r="AY23" s="4">
        <f ca="1" t="shared" si="18"/>
        <v>1.1966868349389503</v>
      </c>
      <c r="AZ23" s="4" t="s">
        <v>94</v>
      </c>
    </row>
    <row r="24" spans="1:52" ht="12.75">
      <c r="A24" s="212" t="s">
        <v>17</v>
      </c>
      <c r="B24" s="49">
        <f>-($C$4/B$4)*Mtoe!AK31*(B82*(100-B139)/10)</f>
        <v>11.547851562499996</v>
      </c>
      <c r="C24" s="49"/>
      <c r="D24" s="49">
        <f>-($C$4/D$4)*Mtoe!AC31*(D82*(100-D139)/10)</f>
        <v>0</v>
      </c>
      <c r="E24" s="49">
        <f>-($C$4/E$4)*Mtoe!AD31*(E82*(100-E139)/10)</f>
        <v>0</v>
      </c>
      <c r="F24" s="49"/>
      <c r="G24" s="49"/>
      <c r="H24" s="49"/>
      <c r="I24" s="49">
        <f>-($C$4/I$4)*Mtoe!AH31*(I82*(100-I139)/10)</f>
        <v>0</v>
      </c>
      <c r="J24" s="49"/>
      <c r="K24" s="49"/>
      <c r="L24" s="55">
        <f t="shared" si="12"/>
        <v>11.547851562499996</v>
      </c>
      <c r="N24" s="49">
        <f>-($C$4/B$4)*Mtoe!AK31*((130/32)*(N82*(100-N139)/10))</f>
        <v>18.765258789062496</v>
      </c>
      <c r="O24" s="49"/>
      <c r="P24" s="49">
        <f>-($C$4/D$4)*Mtoe!AC31*((130/32)*(P82*(100-P139)/10))</f>
        <v>0</v>
      </c>
      <c r="Q24" s="49">
        <f>-($C$4/E$4)*Mtoe!E31*((130/32)*(Q82*(100-Q139)/10))</f>
        <v>0</v>
      </c>
      <c r="R24" s="49"/>
      <c r="S24" s="49"/>
      <c r="T24" s="49"/>
      <c r="U24" s="49">
        <f>-($C$4/I$4)*Mtoe!AH31*((130/32)*(U82*(100-U139)/10))</f>
        <v>0</v>
      </c>
      <c r="V24" s="49"/>
      <c r="W24" s="49"/>
      <c r="X24" s="55">
        <f t="shared" si="13"/>
        <v>18.765258789062496</v>
      </c>
      <c r="Z24" s="49">
        <f>-Mtoe!AK31*(Z82*(100-Z139)/100000)</f>
        <v>0.03749999999999999</v>
      </c>
      <c r="AA24" s="49">
        <f>-Mtoe!AB31*(AA82*(100-AA139)/100000)</f>
        <v>0</v>
      </c>
      <c r="AB24" s="49">
        <f>-Mtoe!AC31*(AB82*(100-AB139)/100000)</f>
        <v>0</v>
      </c>
      <c r="AC24" s="49">
        <f>-Mtoe!AD31*(AC82*(100-AC139)/100000)</f>
        <v>0</v>
      </c>
      <c r="AD24" s="49">
        <f>-Mtoe!F31*(AD82*(100-AD139)/100000)</f>
        <v>0</v>
      </c>
      <c r="AE24" s="49">
        <f>-Mtoe!G31*(AE82*(100-AE139)/100000)</f>
        <v>0</v>
      </c>
      <c r="AF24" s="49">
        <f>-Mtoe!H31*(AF82*(100-AF139)/100000)</f>
        <v>0</v>
      </c>
      <c r="AG24" s="49">
        <f>-Mtoe!AH31*(AG82*(100-AG139)/100000)</f>
        <v>0</v>
      </c>
      <c r="AH24" s="49"/>
      <c r="AI24" s="49"/>
      <c r="AJ24" s="55">
        <f t="shared" si="14"/>
        <v>0.03749999999999999</v>
      </c>
      <c r="AL24" s="26"/>
      <c r="AM24" s="78" t="s">
        <v>17</v>
      </c>
      <c r="AN24" s="154">
        <f t="shared" si="17"/>
        <v>30.350610351562494</v>
      </c>
      <c r="AO24" s="154">
        <f t="shared" si="3"/>
        <v>0</v>
      </c>
      <c r="AP24" s="154">
        <f t="shared" si="4"/>
        <v>0</v>
      </c>
      <c r="AQ24" s="154">
        <f t="shared" si="5"/>
        <v>0</v>
      </c>
      <c r="AR24" s="154">
        <f t="shared" si="6"/>
        <v>0</v>
      </c>
      <c r="AS24" s="154">
        <f t="shared" si="7"/>
        <v>0</v>
      </c>
      <c r="AT24" s="154">
        <f t="shared" si="8"/>
        <v>0</v>
      </c>
      <c r="AU24" s="154">
        <f t="shared" si="9"/>
        <v>0</v>
      </c>
      <c r="AV24" s="154">
        <f t="shared" si="10"/>
        <v>0</v>
      </c>
      <c r="AW24" s="154">
        <f t="shared" si="11"/>
        <v>0</v>
      </c>
      <c r="AX24" s="157">
        <f t="shared" si="15"/>
        <v>30.350610351562494</v>
      </c>
      <c r="AY24" s="4">
        <f ca="1" t="shared" si="18"/>
        <v>0.13908459723379674</v>
      </c>
      <c r="AZ24" s="4" t="s">
        <v>94</v>
      </c>
    </row>
    <row r="25" spans="1:52" ht="12.75">
      <c r="A25" s="48" t="s">
        <v>18</v>
      </c>
      <c r="B25" s="49"/>
      <c r="C25" s="49"/>
      <c r="D25" s="49">
        <f>-($C$4/D$4)*Mtoe!AC32*(D83*(100-D140)/10)</f>
        <v>0.036</v>
      </c>
      <c r="E25" s="49">
        <f>-($C$4/E$4)*Mtoe!AD32*(E83*(100-E140)/10)</f>
        <v>0</v>
      </c>
      <c r="F25" s="49"/>
      <c r="G25" s="49"/>
      <c r="H25" s="49"/>
      <c r="I25" s="49">
        <f>-($C$4/I$4)*Mtoe!AH32*(I83*(100-I140)/10)</f>
        <v>0.33785714285714286</v>
      </c>
      <c r="J25" s="49"/>
      <c r="K25" s="49"/>
      <c r="L25" s="55">
        <f t="shared" si="12"/>
        <v>0.37385714285714283</v>
      </c>
      <c r="N25" s="49"/>
      <c r="O25" s="49"/>
      <c r="P25" s="49">
        <f>-($C$4/D$4)*Mtoe!AK32*((130/32)*(P83*(100-P140)/10))</f>
        <v>48.75</v>
      </c>
      <c r="Q25" s="49">
        <f>-($C$4/E$4)*Mtoe!E32*((130/32)*(Q83*(100-Q140)/10))</f>
        <v>0</v>
      </c>
      <c r="R25" s="49"/>
      <c r="S25" s="49"/>
      <c r="T25" s="49"/>
      <c r="U25" s="49">
        <f>-($C$4/I$4)*Mtoe!AH32*((130/32)*(U83*(100-U140)/10))</f>
        <v>0</v>
      </c>
      <c r="V25" s="49"/>
      <c r="W25" s="49"/>
      <c r="X25" s="55">
        <f t="shared" si="13"/>
        <v>48.75</v>
      </c>
      <c r="Z25" s="49">
        <f>-Mtoe!AA32*(Z83*(100-Z140)/100000)</f>
        <v>0</v>
      </c>
      <c r="AA25" s="49">
        <f>-Mtoe!AB32*(AA83*(100-AA140)/100000)</f>
        <v>0</v>
      </c>
      <c r="AB25" s="49">
        <f>-Mtoe!AK32*(AB83*(100-AB140)/100000)</f>
        <v>0.32000000000000006</v>
      </c>
      <c r="AC25" s="49">
        <f>-Mtoe!AD32*(AC83*(100-AC140)/100000)</f>
        <v>0</v>
      </c>
      <c r="AD25" s="49">
        <f>-Mtoe!F32*(AD83*(100-AD140)/100000)</f>
        <v>0</v>
      </c>
      <c r="AE25" s="49">
        <f>-Mtoe!G32*(AE83*(100-AE140)/100000)</f>
        <v>0</v>
      </c>
      <c r="AF25" s="49">
        <f>-Mtoe!H32*(AF83*(100-AF140)/100000)</f>
        <v>0</v>
      </c>
      <c r="AG25" s="49">
        <f>-Mtoe!AH32*(AG83*(100-AG140)/100000)</f>
        <v>0</v>
      </c>
      <c r="AH25" s="49"/>
      <c r="AI25" s="49"/>
      <c r="AJ25" s="55">
        <f t="shared" si="14"/>
        <v>0.32000000000000006</v>
      </c>
      <c r="AL25" s="26"/>
      <c r="AM25" s="78" t="s">
        <v>18</v>
      </c>
      <c r="AN25" s="154">
        <f t="shared" si="17"/>
        <v>0</v>
      </c>
      <c r="AO25" s="154">
        <f t="shared" si="3"/>
        <v>0</v>
      </c>
      <c r="AP25" s="154">
        <f t="shared" si="4"/>
        <v>49.106</v>
      </c>
      <c r="AQ25" s="154">
        <f t="shared" si="5"/>
        <v>0</v>
      </c>
      <c r="AR25" s="154">
        <f t="shared" si="6"/>
        <v>0</v>
      </c>
      <c r="AS25" s="154">
        <f t="shared" si="7"/>
        <v>0</v>
      </c>
      <c r="AT25" s="154">
        <f t="shared" si="8"/>
        <v>0</v>
      </c>
      <c r="AU25" s="154">
        <f t="shared" si="9"/>
        <v>0.33785714285714286</v>
      </c>
      <c r="AV25" s="154">
        <f t="shared" si="10"/>
        <v>0</v>
      </c>
      <c r="AW25" s="154">
        <f t="shared" si="11"/>
        <v>0</v>
      </c>
      <c r="AX25" s="157">
        <f t="shared" si="15"/>
        <v>49.44385714285715</v>
      </c>
      <c r="AY25" s="4">
        <f ca="1" t="shared" si="18"/>
        <v>0.22658124092867338</v>
      </c>
      <c r="AZ25" s="4" t="s">
        <v>94</v>
      </c>
    </row>
    <row r="26" spans="1:52" ht="12.75">
      <c r="A26" s="261" t="s">
        <v>291</v>
      </c>
      <c r="B26" s="49">
        <f>-($C$4/B$4)*Mtoe!AA33*(B84*(100-B141)/10)</f>
        <v>5.05333984375</v>
      </c>
      <c r="C26" s="49">
        <f>-($C$4/C$4)*Mtoe!AB33*(C84*(100-C141)/10)</f>
        <v>0</v>
      </c>
      <c r="D26" s="49">
        <f>-($C$4/D$4)*Mtoe!AC33*(D84*(100-D141)/10)</f>
        <v>1.4968000000000001</v>
      </c>
      <c r="E26" s="49">
        <f>-($C$4/E$4)*Mtoe!AD33*(E84*(100-E141)/10)</f>
        <v>0</v>
      </c>
      <c r="F26" s="49"/>
      <c r="G26" s="49"/>
      <c r="H26" s="49"/>
      <c r="I26" s="49">
        <f>-($C$4/I$4)*Mtoe!AH33*(I84*(100-I141)/10)</f>
        <v>0.2917857142857143</v>
      </c>
      <c r="J26" s="49"/>
      <c r="K26" s="49"/>
      <c r="L26" s="55">
        <f t="shared" si="12"/>
        <v>6.841925558035714</v>
      </c>
      <c r="N26" s="49">
        <f>-($C$4/B$4)*Mtoe!AA33*((130/32)*(N84*(100-N141)/10))</f>
        <v>225.82112426757814</v>
      </c>
      <c r="O26" s="49">
        <f>-($C$4/C$4)*Mtoe!AB33*((130/32)*(O84*(100-O141)/10))</f>
        <v>0</v>
      </c>
      <c r="P26" s="49">
        <f>-($C$4/D$4)*Mtoe!AC33*((130/32)*(P84*(100-P141)/10))</f>
        <v>2280.28125</v>
      </c>
      <c r="Q26" s="49">
        <f>-($C$4/E$4)*Mtoe!E33*((130/32)*(Q84*(100-Q141)/10))</f>
        <v>0</v>
      </c>
      <c r="R26" s="49"/>
      <c r="S26" s="49"/>
      <c r="T26" s="49"/>
      <c r="U26" s="49">
        <f>-($C$4/I$4)*Mtoe!AH33*((130/32)*(U84*(100-U141)/10))</f>
        <v>0</v>
      </c>
      <c r="V26" s="49"/>
      <c r="W26" s="49"/>
      <c r="X26" s="55">
        <f t="shared" si="13"/>
        <v>2506.102374267578</v>
      </c>
      <c r="Z26" s="49">
        <f>-Mtoe!AA33*(Z84*(100-Z141)/100000)</f>
        <v>0.0166835</v>
      </c>
      <c r="AA26" s="49">
        <f>-Mtoe!AB33*(AA84*(100-AA141)/100000)</f>
        <v>0</v>
      </c>
      <c r="AB26" s="49">
        <f>-Mtoe!AC33*(AB84*(100-AB141)/100000)</f>
        <v>1.4968000000000001</v>
      </c>
      <c r="AC26" s="49">
        <f>-Mtoe!AD33*(AC84*(100-AC141)/100000)</f>
        <v>4.1304</v>
      </c>
      <c r="AD26" s="49">
        <f>-Mtoe!F33*(AD84*(100-AD141)/100000)</f>
        <v>0</v>
      </c>
      <c r="AE26" s="49">
        <f>-Mtoe!G33*(AE84*(100-AE141)/100000)</f>
        <v>0</v>
      </c>
      <c r="AF26" s="49">
        <f>-Mtoe!H33*(AF84*(100-AF141)/100000)</f>
        <v>0</v>
      </c>
      <c r="AG26" s="49">
        <f>-Mtoe!AH33*(AG84*(100-AG141)/100000)</f>
        <v>0.0076</v>
      </c>
      <c r="AH26" s="49"/>
      <c r="AI26" s="49"/>
      <c r="AJ26" s="55">
        <f t="shared" si="14"/>
        <v>5.6514835</v>
      </c>
      <c r="AL26" s="26"/>
      <c r="AM26" s="78" t="s">
        <v>291</v>
      </c>
      <c r="AN26" s="154">
        <f t="shared" si="17"/>
        <v>230.89114761132814</v>
      </c>
      <c r="AO26" s="154">
        <f t="shared" si="3"/>
        <v>0</v>
      </c>
      <c r="AP26" s="154">
        <f t="shared" si="4"/>
        <v>2283.27485</v>
      </c>
      <c r="AQ26" s="154">
        <f t="shared" si="5"/>
        <v>4.1304</v>
      </c>
      <c r="AR26" s="154">
        <f t="shared" si="6"/>
        <v>0</v>
      </c>
      <c r="AS26" s="154">
        <f t="shared" si="7"/>
        <v>0</v>
      </c>
      <c r="AT26" s="154">
        <f t="shared" si="8"/>
        <v>0</v>
      </c>
      <c r="AU26" s="154">
        <f t="shared" si="9"/>
        <v>0.2993857142857143</v>
      </c>
      <c r="AV26" s="154">
        <f t="shared" si="10"/>
        <v>0</v>
      </c>
      <c r="AW26" s="154">
        <f t="shared" si="11"/>
        <v>0</v>
      </c>
      <c r="AX26" s="157">
        <f t="shared" si="15"/>
        <v>2518.5957833256134</v>
      </c>
      <c r="AY26" s="4">
        <f ca="1" t="shared" si="18"/>
        <v>11.541707928142138</v>
      </c>
      <c r="AZ26" s="4" t="s">
        <v>94</v>
      </c>
    </row>
    <row r="27" spans="1:54" ht="13.5" thickBot="1">
      <c r="A27" s="270" t="s">
        <v>235</v>
      </c>
      <c r="B27" s="49">
        <f>-($C$4/B$4)*Mtoe!AA34*(B85*(100-B142)/10)</f>
        <v>0</v>
      </c>
      <c r="C27" s="49">
        <f>-($C$4/C$4)*Mtoe!AB34*(C85*(100-C142)/10)</f>
        <v>0</v>
      </c>
      <c r="D27" s="49">
        <f>-($C$4/D$4)*Mtoe!AC34*(D85*(100-D142)/10)</f>
        <v>0</v>
      </c>
      <c r="E27" s="49">
        <f>-($C$4/E$4)*Mtoe!AD34*(E85*(100-E142)/10)</f>
        <v>0</v>
      </c>
      <c r="F27" s="49"/>
      <c r="G27" s="49"/>
      <c r="H27" s="49"/>
      <c r="I27" s="49">
        <f>-($C$4/I$4)*Mtoe!AH34*(I85*(100-I142)/10)</f>
        <v>0</v>
      </c>
      <c r="J27" s="49"/>
      <c r="K27" s="49"/>
      <c r="L27" s="55">
        <f t="shared" si="12"/>
        <v>0</v>
      </c>
      <c r="N27" s="49"/>
      <c r="O27" s="49"/>
      <c r="P27" s="49"/>
      <c r="Q27" s="54"/>
      <c r="R27" s="54"/>
      <c r="S27" s="54"/>
      <c r="T27" s="54"/>
      <c r="U27" s="49">
        <f>-($C$4/I$4)*Mtoe!AH34*((130/32)*(U85*(100-U142)/10))</f>
        <v>0</v>
      </c>
      <c r="V27" s="54"/>
      <c r="W27" s="54"/>
      <c r="X27" s="55">
        <f t="shared" si="13"/>
        <v>0</v>
      </c>
      <c r="Z27" s="54"/>
      <c r="AA27" s="54"/>
      <c r="AB27" s="54"/>
      <c r="AC27" s="54"/>
      <c r="AD27" s="54"/>
      <c r="AE27" s="54"/>
      <c r="AF27" s="54"/>
      <c r="AG27" s="49">
        <f>-Mtoe!AH34*(AG85*(100-AG142)/100000)</f>
        <v>0</v>
      </c>
      <c r="AH27" s="54"/>
      <c r="AI27" s="54"/>
      <c r="AJ27" s="55">
        <f t="shared" si="14"/>
        <v>0</v>
      </c>
      <c r="AL27" s="26"/>
      <c r="AM27" s="81" t="s">
        <v>235</v>
      </c>
      <c r="AN27" s="154">
        <f t="shared" si="17"/>
        <v>0</v>
      </c>
      <c r="AO27" s="154">
        <f t="shared" si="3"/>
        <v>0</v>
      </c>
      <c r="AP27" s="154">
        <f t="shared" si="4"/>
        <v>0</v>
      </c>
      <c r="AQ27" s="154">
        <f t="shared" si="5"/>
        <v>0</v>
      </c>
      <c r="AR27" s="154">
        <f t="shared" si="6"/>
        <v>0</v>
      </c>
      <c r="AS27" s="154">
        <f t="shared" si="7"/>
        <v>0</v>
      </c>
      <c r="AT27" s="154">
        <f t="shared" si="8"/>
        <v>0</v>
      </c>
      <c r="AU27" s="154">
        <f t="shared" si="9"/>
        <v>0</v>
      </c>
      <c r="AV27" s="154">
        <f t="shared" si="10"/>
        <v>0</v>
      </c>
      <c r="AW27" s="154">
        <f t="shared" si="11"/>
        <v>0</v>
      </c>
      <c r="AX27" s="157">
        <f t="shared" si="15"/>
        <v>0</v>
      </c>
      <c r="AY27" s="4"/>
      <c r="AZ27" s="4" t="s">
        <v>94</v>
      </c>
      <c r="BA27" s="141"/>
      <c r="BB27" s="139"/>
    </row>
    <row r="28" spans="1:52" ht="15.75" thickBot="1">
      <c r="A28" s="3"/>
      <c r="B28" s="61"/>
      <c r="C28" s="60"/>
      <c r="D28" s="60"/>
      <c r="E28" s="85"/>
      <c r="F28" s="85"/>
      <c r="G28" s="85"/>
      <c r="H28" s="85"/>
      <c r="I28" s="60"/>
      <c r="J28" s="189"/>
      <c r="K28" s="199"/>
      <c r="L28" s="86"/>
      <c r="M28" s="61"/>
      <c r="N28" s="60"/>
      <c r="O28" s="60"/>
      <c r="P28" s="60"/>
      <c r="Q28" s="85"/>
      <c r="R28" s="85"/>
      <c r="S28" s="85"/>
      <c r="T28" s="85"/>
      <c r="U28" s="60"/>
      <c r="V28" s="199"/>
      <c r="W28" s="199"/>
      <c r="X28" s="86"/>
      <c r="Z28" s="198"/>
      <c r="AA28" s="198"/>
      <c r="AB28" s="198"/>
      <c r="AC28" s="102"/>
      <c r="AD28" s="102"/>
      <c r="AE28" s="102"/>
      <c r="AF28" s="102"/>
      <c r="AG28" s="102"/>
      <c r="AH28" s="102"/>
      <c r="AI28" s="102"/>
      <c r="AJ28" s="86"/>
      <c r="AL28" s="26"/>
      <c r="AM28" s="83" t="s">
        <v>141</v>
      </c>
      <c r="AN28" s="159"/>
      <c r="AO28" s="95"/>
      <c r="AP28" s="95"/>
      <c r="AQ28" s="95"/>
      <c r="AR28" s="95"/>
      <c r="AS28" s="95"/>
      <c r="AT28" s="95"/>
      <c r="AU28" s="95"/>
      <c r="AV28" s="747">
        <f>AX16+AX17*(Mtoe!AI24/(Mtoe!AI24+Mtoe!AJ24))</f>
        <v>8955.318584810562</v>
      </c>
      <c r="AW28" s="747">
        <f>AX18+AX17*(Mtoe!AJ24/(Mtoe!AJ24+Mtoe!AI24))</f>
        <v>2192.7063284475307</v>
      </c>
      <c r="AX28" s="1252">
        <f>SUM(AX14:AX27)</f>
        <v>14061.522204145087</v>
      </c>
      <c r="AY28" s="268">
        <f ca="1">SUM(AX20:AX27)*100/AX12</f>
        <v>13.351382148527843</v>
      </c>
      <c r="AZ28" s="142" t="s">
        <v>94</v>
      </c>
    </row>
    <row r="29" spans="1:54" ht="15.75" thickBot="1">
      <c r="A29" s="50" t="s">
        <v>21</v>
      </c>
      <c r="B29" s="200"/>
      <c r="C29" s="200"/>
      <c r="D29" s="200"/>
      <c r="E29" s="51"/>
      <c r="F29" s="51"/>
      <c r="G29" s="51"/>
      <c r="H29" s="51"/>
      <c r="I29" s="200"/>
      <c r="J29" s="201"/>
      <c r="K29" s="51"/>
      <c r="L29" s="52">
        <f aca="true" t="shared" si="19" ref="L29">L30+L44+L61</f>
        <v>545.8735152678022</v>
      </c>
      <c r="M29" s="31"/>
      <c r="N29" s="202"/>
      <c r="O29" s="200"/>
      <c r="P29" s="200"/>
      <c r="Q29" s="51"/>
      <c r="R29" s="51"/>
      <c r="S29" s="51"/>
      <c r="T29" s="51"/>
      <c r="U29" s="200"/>
      <c r="V29" s="51"/>
      <c r="W29" s="51"/>
      <c r="X29" s="52">
        <f aca="true" t="shared" si="20" ref="X29">X30+X44+X61</f>
        <v>6539.31498448579</v>
      </c>
      <c r="Y29" s="31"/>
      <c r="Z29" s="51"/>
      <c r="AA29" s="51"/>
      <c r="AB29" s="51"/>
      <c r="AC29" s="51"/>
      <c r="AD29" s="51"/>
      <c r="AE29" s="51"/>
      <c r="AF29" s="51"/>
      <c r="AG29" s="51"/>
      <c r="AH29" s="51"/>
      <c r="AI29" s="51"/>
      <c r="AJ29" s="52">
        <f aca="true" t="shared" si="21" ref="AJ29">AJ30+AJ44+AJ61</f>
        <v>673.5638151942063</v>
      </c>
      <c r="AK29" s="31"/>
      <c r="AL29" s="31"/>
      <c r="AM29" s="8"/>
      <c r="AN29" s="95">
        <f>AN30+AN44+AN61</f>
        <v>4396.033155078126</v>
      </c>
      <c r="AO29" s="95">
        <f aca="true" t="shared" si="22" ref="AO29:AX29">AO30+AO44+AO61</f>
        <v>206.9025</v>
      </c>
      <c r="AP29" s="95">
        <f ca="1" t="shared" si="22"/>
        <v>2893.670374766084</v>
      </c>
      <c r="AQ29" s="95">
        <f ca="1" t="shared" si="22"/>
        <v>16.125999424289738</v>
      </c>
      <c r="AR29" s="95">
        <f t="shared" si="22"/>
        <v>0</v>
      </c>
      <c r="AS29" s="95">
        <f t="shared" si="22"/>
        <v>0</v>
      </c>
      <c r="AT29" s="95">
        <f t="shared" si="22"/>
        <v>0</v>
      </c>
      <c r="AU29" s="95">
        <f ca="1" t="shared" si="22"/>
        <v>246.02028567929904</v>
      </c>
      <c r="AV29" s="95">
        <f ca="1" t="shared" si="22"/>
        <v>8960.04633064479</v>
      </c>
      <c r="AW29" s="95">
        <f t="shared" si="22"/>
        <v>2189.394570733161</v>
      </c>
      <c r="AX29" s="158">
        <f ca="1" t="shared" si="22"/>
        <v>18908.193216325748</v>
      </c>
      <c r="AY29" s="143"/>
      <c r="AZ29" s="144"/>
      <c r="BA29" s="266"/>
      <c r="BB29" s="10"/>
    </row>
    <row r="30" spans="1:54" ht="12.75">
      <c r="A30" s="55" t="s">
        <v>22</v>
      </c>
      <c r="B30" s="49"/>
      <c r="C30" s="49"/>
      <c r="D30" s="49"/>
      <c r="E30" s="56"/>
      <c r="F30" s="56"/>
      <c r="G30" s="56"/>
      <c r="H30" s="56"/>
      <c r="I30" s="49"/>
      <c r="J30" s="180"/>
      <c r="K30" s="56"/>
      <c r="L30" s="55">
        <f aca="true" t="shared" si="23" ref="L30">SUM(L31:L43)</f>
        <v>412.7742633928571</v>
      </c>
      <c r="N30" s="49"/>
      <c r="O30" s="49"/>
      <c r="P30" s="49"/>
      <c r="Q30" s="56"/>
      <c r="R30" s="56"/>
      <c r="S30" s="56"/>
      <c r="T30" s="56"/>
      <c r="U30" s="49"/>
      <c r="V30" s="56"/>
      <c r="W30" s="56"/>
      <c r="X30" s="55">
        <f aca="true" t="shared" si="24" ref="X30">SUM(X31:X43)</f>
        <v>4324.09513155692</v>
      </c>
      <c r="Z30" s="56"/>
      <c r="AA30" s="56"/>
      <c r="AB30" s="56"/>
      <c r="AC30" s="56"/>
      <c r="AD30" s="56"/>
      <c r="AE30" s="56"/>
      <c r="AF30" s="56"/>
      <c r="AG30" s="56"/>
      <c r="AH30" s="56"/>
      <c r="AI30" s="56"/>
      <c r="AJ30" s="55">
        <f aca="true" t="shared" si="25" ref="AJ30">SUM(AJ31:AJ43)</f>
        <v>16.6824</v>
      </c>
      <c r="AL30" s="26"/>
      <c r="AM30" s="77" t="s">
        <v>22</v>
      </c>
      <c r="AN30" s="160">
        <f>SUM(AN31:AN43)</f>
        <v>2828.835474414063</v>
      </c>
      <c r="AO30" s="160">
        <f aca="true" t="shared" si="26" ref="AO30:AX30">SUM(AO31:AO43)</f>
        <v>206.9025</v>
      </c>
      <c r="AP30" s="160">
        <f t="shared" si="26"/>
        <v>1616.9047499999997</v>
      </c>
      <c r="AQ30" s="160">
        <f t="shared" si="26"/>
        <v>3.803</v>
      </c>
      <c r="AR30" s="160">
        <f t="shared" si="26"/>
        <v>0</v>
      </c>
      <c r="AS30" s="160">
        <f t="shared" si="26"/>
        <v>0</v>
      </c>
      <c r="AT30" s="160">
        <f t="shared" si="26"/>
        <v>0</v>
      </c>
      <c r="AU30" s="160">
        <f t="shared" si="26"/>
        <v>97.10607053571428</v>
      </c>
      <c r="AV30" s="160">
        <f t="shared" si="26"/>
        <v>3300.4303987624285</v>
      </c>
      <c r="AW30" s="160">
        <f t="shared" si="26"/>
        <v>715.2864879367694</v>
      </c>
      <c r="AX30" s="157">
        <f t="shared" si="26"/>
        <v>8769.268681648975</v>
      </c>
      <c r="AY30" s="11">
        <f ca="1">SUM(AY31:AY43)</f>
        <v>40.18601894638026</v>
      </c>
      <c r="AZ30" s="4" t="s">
        <v>94</v>
      </c>
      <c r="BA30" s="831"/>
      <c r="BB30" s="91"/>
    </row>
    <row r="31" spans="1:54" ht="12.75">
      <c r="A31" s="48" t="s">
        <v>23</v>
      </c>
      <c r="B31" s="49">
        <f>($C$4/B$4)*Mtoe!AA38*(B89*(100-B146)/10)</f>
        <v>100.193359375</v>
      </c>
      <c r="C31" s="49">
        <f>($C$4/C$4)*Mtoe!AB38*(C89*(100-C146)/10)</f>
        <v>0</v>
      </c>
      <c r="D31" s="49">
        <f>($C$4/D$4)*Mtoe!AC38*(D89*(100-D146)/10)</f>
        <v>0.30600000000000005</v>
      </c>
      <c r="E31" s="49">
        <f>($C$4/E$4)*Mtoe!E38*(E89*(100-E146)/10)</f>
        <v>0</v>
      </c>
      <c r="F31" s="49"/>
      <c r="G31" s="49"/>
      <c r="H31" s="49"/>
      <c r="I31" s="49">
        <f>($C$4/I$4)*Mtoe!AH38*(I89*(100-I146)/10)</f>
        <v>0.12285714285714287</v>
      </c>
      <c r="J31" s="180"/>
      <c r="K31" s="49"/>
      <c r="L31" s="55">
        <f aca="true" t="shared" si="27" ref="L31:L43">SUM(B31:K31)</f>
        <v>100.62221651785714</v>
      </c>
      <c r="N31" s="49">
        <f>($C$4/B$4)*Mtoe!AA38*((130/32)*(N89*(100-N146)/10))</f>
        <v>1221.1065673828125</v>
      </c>
      <c r="O31" s="49">
        <f>($C$4/C$4)*Mtoe!AB38*((130/32)*(O89*(100-O146)/10))</f>
        <v>0</v>
      </c>
      <c r="P31" s="49">
        <f>($C$4/D$4)*Mtoe!AC38*((130/32)*(P89*(100-P146)/10))</f>
        <v>93.234375</v>
      </c>
      <c r="Q31" s="49">
        <f>-($C$4/E$4)*Mtoe!AD38*((130/32)*(Q89*(100-Q146)/10))</f>
        <v>0</v>
      </c>
      <c r="R31" s="49"/>
      <c r="S31" s="49"/>
      <c r="T31" s="49"/>
      <c r="U31" s="49">
        <f>($C$4/I$4)*Mtoe!AH38*((130/32)*(U89*(100-U146)/10))</f>
        <v>0</v>
      </c>
      <c r="V31" s="49"/>
      <c r="W31" s="49"/>
      <c r="X31" s="55">
        <f aca="true" t="shared" si="28" ref="X31:X43">SUM(N31:W31)</f>
        <v>1314.3409423828125</v>
      </c>
      <c r="Z31" s="49">
        <f>Mtoe!AA38*(Z89*(100-Z146)/100000)</f>
        <v>1.193</v>
      </c>
      <c r="AA31" s="49">
        <f>Mtoe!AB38*(AA89*(100-AA146)/100000)</f>
        <v>0</v>
      </c>
      <c r="AB31" s="49">
        <f>Mtoe!AC38*(AB89*(100-AB146)/100000)</f>
        <v>0.15300000000000002</v>
      </c>
      <c r="AC31" s="49">
        <f>Mtoe!AD38*(AC89*(100-AC146)/100000)</f>
        <v>0.34650000000000003</v>
      </c>
      <c r="AD31" s="49"/>
      <c r="AE31" s="49"/>
      <c r="AF31" s="49"/>
      <c r="AG31" s="49">
        <f>Mtoe!AH38*(AG89*(100-AG146)/100000)</f>
        <v>0.006</v>
      </c>
      <c r="AH31" s="49"/>
      <c r="AI31" s="49"/>
      <c r="AJ31" s="55">
        <f aca="true" t="shared" si="29" ref="AJ31:AJ43">SUM(Z31:AI31)</f>
        <v>1.6985000000000001</v>
      </c>
      <c r="AL31" s="26"/>
      <c r="AM31" s="78" t="s">
        <v>23</v>
      </c>
      <c r="AN31" s="154">
        <f aca="true" t="shared" si="30" ref="AN31:AN43">B31+N31+Z31</f>
        <v>1322.4929267578125</v>
      </c>
      <c r="AO31" s="154">
        <f aca="true" t="shared" si="31" ref="AO31:AO43">C31+O31+AA31</f>
        <v>0</v>
      </c>
      <c r="AP31" s="154">
        <f aca="true" t="shared" si="32" ref="AP31:AP43">D31+P31+AB31</f>
        <v>93.693375</v>
      </c>
      <c r="AQ31" s="154">
        <f aca="true" t="shared" si="33" ref="AQ31:AQ43">E31+Q31+AC31</f>
        <v>0.34650000000000003</v>
      </c>
      <c r="AR31" s="154">
        <f aca="true" t="shared" si="34" ref="AR31:AR43">F31+R31+AD31</f>
        <v>0</v>
      </c>
      <c r="AS31" s="154">
        <f aca="true" t="shared" si="35" ref="AS31:AS43">G31+S31+AE31</f>
        <v>0</v>
      </c>
      <c r="AT31" s="154">
        <f aca="true" t="shared" si="36" ref="AT31:AT43">H31+T31+AF31</f>
        <v>0</v>
      </c>
      <c r="AU31" s="154">
        <f aca="true" t="shared" si="37" ref="AU31:AU43">I31+U31+AG31</f>
        <v>0.12885714285714286</v>
      </c>
      <c r="AV31" s="154">
        <f>AV$28*(Mtoe!$AI38/Mtoe!$AI$35)</f>
        <v>372.097024323354</v>
      </c>
      <c r="AW31" s="154">
        <f>AW$28*(Mtoe!$AJ38/Mtoe!$AJ$35)</f>
        <v>24.810329751733487</v>
      </c>
      <c r="AX31" s="157">
        <f aca="true" t="shared" si="38" ref="AX31:AX43">SUM(AN31:AW31)</f>
        <v>1813.5690129757572</v>
      </c>
      <c r="AY31" s="4">
        <f aca="true" t="shared" si="39" ref="AY31:AY43">100*AX31/AX$12</f>
        <v>8.310854800072969</v>
      </c>
      <c r="AZ31" s="4" t="s">
        <v>94</v>
      </c>
      <c r="BA31" s="142"/>
      <c r="BB31" s="91"/>
    </row>
    <row r="32" spans="1:54" ht="12.75">
      <c r="A32" s="48" t="s">
        <v>24</v>
      </c>
      <c r="B32" s="49">
        <f>($C$4/B$4)*Mtoe!AA39*(B90*(100-B147)/10)</f>
        <v>28.361523437499997</v>
      </c>
      <c r="C32" s="49">
        <f>($C$4/C$4)*Mtoe!AB39*(C90*(100-C147)/10)</f>
        <v>7.84</v>
      </c>
      <c r="D32" s="49">
        <f>($C$4/D$4)*Mtoe!AC39*(D90*(100-D147)/10)</f>
        <v>1.2080000000000002</v>
      </c>
      <c r="E32" s="49">
        <f>($C$4/E$4)*Mtoe!E39*(E90*(100-E147)/10)</f>
        <v>0</v>
      </c>
      <c r="F32" s="49"/>
      <c r="G32" s="49"/>
      <c r="H32" s="49"/>
      <c r="I32" s="49">
        <f>($C$4/I$4)*Mtoe!AH39*(I90*(100-I147)/10)</f>
        <v>1.5050000000000001</v>
      </c>
      <c r="J32" s="180"/>
      <c r="K32" s="49"/>
      <c r="L32" s="55">
        <f t="shared" si="27"/>
        <v>38.9145234375</v>
      </c>
      <c r="N32" s="49">
        <f>($C$4/B$4)*Mtoe!AA39*((130/32)*(N90*(100-N147)/10))</f>
        <v>230.43737792968753</v>
      </c>
      <c r="O32" s="49">
        <f>($C$4/C$4)*Mtoe!AB39*((130/32)*(O90*(100-O147)/10))</f>
        <v>199.0625</v>
      </c>
      <c r="P32" s="49">
        <f>($C$4/D$4)*Mtoe!AC39*((130/32)*(P90*(100-P147)/10))</f>
        <v>368.0625</v>
      </c>
      <c r="Q32" s="49">
        <f>-($C$4/E$4)*Mtoe!AD39*((130/32)*(Q90*(100-Q147)/10))</f>
        <v>0</v>
      </c>
      <c r="R32" s="49"/>
      <c r="S32" s="49"/>
      <c r="T32" s="49"/>
      <c r="U32" s="49">
        <f>($C$4/I$4)*Mtoe!AH39*((130/32)*(U90*(100-U147)/10))</f>
        <v>0</v>
      </c>
      <c r="V32" s="49"/>
      <c r="W32" s="49"/>
      <c r="X32" s="55">
        <f t="shared" si="28"/>
        <v>797.5623779296875</v>
      </c>
      <c r="Z32" s="49">
        <f>Mtoe!AA39*(Z90*(100-Z147)/100000)</f>
        <v>0.1535</v>
      </c>
      <c r="AA32" s="49">
        <f>Mtoe!AB39*(AA90*(100-AA147)/100000)</f>
        <v>0</v>
      </c>
      <c r="AB32" s="49">
        <f>Mtoe!AC39*(AB90*(100-AB147)/100000)</f>
        <v>0.6040000000000001</v>
      </c>
      <c r="AC32" s="49">
        <f>Mtoe!AD39*(AC90*(100-AC147)/100000)</f>
        <v>0.8165</v>
      </c>
      <c r="AD32" s="49"/>
      <c r="AE32" s="49"/>
      <c r="AF32" s="49"/>
      <c r="AG32" s="49">
        <f>Mtoe!AH39*(AG90*(100-AG147)/100000)</f>
        <v>0.0735</v>
      </c>
      <c r="AH32" s="49"/>
      <c r="AI32" s="49"/>
      <c r="AJ32" s="55">
        <f t="shared" si="29"/>
        <v>1.6475</v>
      </c>
      <c r="AL32" s="26"/>
      <c r="AM32" s="78" t="s">
        <v>24</v>
      </c>
      <c r="AN32" s="154">
        <f t="shared" si="30"/>
        <v>258.9524013671875</v>
      </c>
      <c r="AO32" s="154">
        <f t="shared" si="31"/>
        <v>206.9025</v>
      </c>
      <c r="AP32" s="154">
        <f t="shared" si="32"/>
        <v>369.8745</v>
      </c>
      <c r="AQ32" s="154">
        <f t="shared" si="33"/>
        <v>0.8165</v>
      </c>
      <c r="AR32" s="154">
        <f t="shared" si="34"/>
        <v>0</v>
      </c>
      <c r="AS32" s="154">
        <f t="shared" si="35"/>
        <v>0</v>
      </c>
      <c r="AT32" s="154">
        <f t="shared" si="36"/>
        <v>0</v>
      </c>
      <c r="AU32" s="154">
        <f t="shared" si="37"/>
        <v>1.5785</v>
      </c>
      <c r="AV32" s="154">
        <f>AV$28*(Mtoe!AI39/Mtoe!AI$35)</f>
        <v>552.1779426987131</v>
      </c>
      <c r="AW32" s="154">
        <f>AW$28*(Mtoe!AJ39/Mtoe!AJ$35)</f>
        <v>305.68198731852766</v>
      </c>
      <c r="AX32" s="157">
        <f t="shared" si="38"/>
        <v>1695.9843313844283</v>
      </c>
      <c r="AY32" s="4">
        <f ca="1" t="shared" si="39"/>
        <v>7.772011663458674</v>
      </c>
      <c r="AZ32" s="4" t="s">
        <v>94</v>
      </c>
      <c r="BA32" s="142"/>
      <c r="BB32" s="91"/>
    </row>
    <row r="33" spans="1:54" ht="12.75">
      <c r="A33" s="48" t="s">
        <v>25</v>
      </c>
      <c r="B33" s="49">
        <f>($C$4/B$4)*Mtoe!AA40*(B91*(100-B148)/10)</f>
        <v>7.944921875</v>
      </c>
      <c r="C33" s="49">
        <f>($C$4/C$4)*Mtoe!AB40*(C91*(100-C148)/10)</f>
        <v>0</v>
      </c>
      <c r="D33" s="49">
        <f>($C$4/D$4)*Mtoe!AC40*(D91*(100-D148)/10)</f>
        <v>0.15400000000000003</v>
      </c>
      <c r="E33" s="49">
        <f>($C$4/E$4)*Mtoe!E40*(E91*(100-E148)/10)</f>
        <v>0</v>
      </c>
      <c r="F33" s="49"/>
      <c r="G33" s="49"/>
      <c r="H33" s="49"/>
      <c r="I33" s="49">
        <f>($C$4/I$4)*Mtoe!AH40*(I91*(100-I148)/10)</f>
        <v>0.15357142857142858</v>
      </c>
      <c r="J33" s="180"/>
      <c r="K33" s="49"/>
      <c r="L33" s="55">
        <f t="shared" si="27"/>
        <v>8.252493303571429</v>
      </c>
      <c r="N33" s="49">
        <f>($C$4/B$4)*Mtoe!AA40*((130/32)*(N91*(100-N148)/10))</f>
        <v>32.27624511718751</v>
      </c>
      <c r="O33" s="49">
        <f>($C$4/C$4)*Mtoe!AB40*((130/32)*(O91*(100-O148)/10))</f>
        <v>0</v>
      </c>
      <c r="P33" s="49">
        <f>($C$4/D$4)*Mtoe!AC40*((130/32)*(P91*(100-P148)/10))</f>
        <v>46.921875</v>
      </c>
      <c r="Q33" s="49">
        <f>-($C$4/E$4)*Mtoe!AD40*((130/32)*(Q91*(100-Q148)/10))</f>
        <v>0</v>
      </c>
      <c r="R33" s="49"/>
      <c r="S33" s="49"/>
      <c r="T33" s="49"/>
      <c r="U33" s="49">
        <f>($C$4/I$4)*Mtoe!AH40*((130/32)*(U91*(100-U148)/10))</f>
        <v>0</v>
      </c>
      <c r="V33" s="49"/>
      <c r="W33" s="49"/>
      <c r="X33" s="55">
        <f t="shared" si="28"/>
        <v>79.1981201171875</v>
      </c>
      <c r="Z33" s="49">
        <f>Mtoe!AA40*(Z91*(100-Z148)/100000)</f>
        <v>0.043000000000000003</v>
      </c>
      <c r="AA33" s="49">
        <f>Mtoe!AB40*(AA91*(100-AA148)/100000)</f>
        <v>0</v>
      </c>
      <c r="AB33" s="49">
        <f>Mtoe!AC40*(AB91*(100-AB148)/100000)</f>
        <v>0.07700000000000001</v>
      </c>
      <c r="AC33" s="49">
        <f>Mtoe!AD40*(AC91*(100-AC148)/100000)</f>
        <v>0.1365</v>
      </c>
      <c r="AD33" s="49"/>
      <c r="AE33" s="49"/>
      <c r="AF33" s="49"/>
      <c r="AG33" s="49">
        <f>Mtoe!AH40*(AG91*(100-AG148)/100000)</f>
        <v>0.0075</v>
      </c>
      <c r="AH33" s="49"/>
      <c r="AI33" s="49"/>
      <c r="AJ33" s="55">
        <f t="shared" si="29"/>
        <v>0.26400000000000007</v>
      </c>
      <c r="AL33" s="26"/>
      <c r="AM33" s="78" t="s">
        <v>25</v>
      </c>
      <c r="AN33" s="154">
        <f t="shared" si="30"/>
        <v>40.264166992187505</v>
      </c>
      <c r="AO33" s="154">
        <f t="shared" si="31"/>
        <v>0</v>
      </c>
      <c r="AP33" s="154">
        <f t="shared" si="32"/>
        <v>47.152875</v>
      </c>
      <c r="AQ33" s="154">
        <f t="shared" si="33"/>
        <v>0.1365</v>
      </c>
      <c r="AR33" s="154">
        <f t="shared" si="34"/>
        <v>0</v>
      </c>
      <c r="AS33" s="154">
        <f t="shared" si="35"/>
        <v>0</v>
      </c>
      <c r="AT33" s="154">
        <f t="shared" si="36"/>
        <v>0</v>
      </c>
      <c r="AU33" s="154">
        <f t="shared" si="37"/>
        <v>0.1610714285714286</v>
      </c>
      <c r="AV33" s="154">
        <f>AV$28*(Mtoe!AI40/Mtoe!AI$35)</f>
        <v>283.2851873857988</v>
      </c>
      <c r="AW33" s="154">
        <f>AW$28*(Mtoe!AJ40/Mtoe!AJ$35)</f>
        <v>8.426149727003827</v>
      </c>
      <c r="AX33" s="157">
        <f t="shared" si="38"/>
        <v>379.42595053356155</v>
      </c>
      <c r="AY33" s="4">
        <f ca="1" t="shared" si="39"/>
        <v>1.7387559887175084</v>
      </c>
      <c r="AZ33" s="4" t="s">
        <v>94</v>
      </c>
      <c r="BA33" s="142"/>
      <c r="BB33" s="91"/>
    </row>
    <row r="34" spans="1:54" ht="12.75">
      <c r="A34" s="48" t="s">
        <v>26</v>
      </c>
      <c r="B34" s="49">
        <f>($C$4/B$4)*Mtoe!AA41*(B92*(100-B149)/10)</f>
        <v>88.50273437499999</v>
      </c>
      <c r="C34" s="49">
        <f>($C$4/C$4)*Mtoe!AB41*(C92*(100-C149)/10)</f>
        <v>0</v>
      </c>
      <c r="D34" s="49">
        <f>($C$4/D$4)*Mtoe!AC41*(D92*(100-D149)/10)</f>
        <v>1.8760000000000003</v>
      </c>
      <c r="E34" s="49">
        <f>($C$4/E$4)*Mtoe!E41*(E92*(100-E149)/10)</f>
        <v>0</v>
      </c>
      <c r="F34" s="49"/>
      <c r="G34" s="49"/>
      <c r="H34" s="49"/>
      <c r="I34" s="49">
        <f>($C$4/I$4)*Mtoe!AH41*(I92*(100-I149)/10)</f>
        <v>9.30642857142857</v>
      </c>
      <c r="J34" s="180"/>
      <c r="K34" s="49"/>
      <c r="L34" s="55">
        <f t="shared" si="27"/>
        <v>99.68516294642856</v>
      </c>
      <c r="N34" s="49">
        <f>($C$4/B$4)*Mtoe!AA41*((130/32)*(N92*(100-N149)/10))</f>
        <v>359.5423583984375</v>
      </c>
      <c r="O34" s="49">
        <f>($C$4/C$4)*Mtoe!AB41*((130/32)*(O92*(100-O149)/10))</f>
        <v>0</v>
      </c>
      <c r="P34" s="49">
        <f>($C$4/D$4)*Mtoe!AC41*((130/32)*(P92*(100-P149)/10))</f>
        <v>571.59375</v>
      </c>
      <c r="Q34" s="49">
        <f>-($C$4/E$4)*Mtoe!AD41*((130/32)*(Q92*(100-Q149)/10))</f>
        <v>0</v>
      </c>
      <c r="R34" s="49"/>
      <c r="S34" s="49"/>
      <c r="T34" s="49"/>
      <c r="U34" s="49">
        <f>($C$4/I$4)*Mtoe!AH41*((130/32)*(U92*(100-U149)/10))</f>
        <v>0</v>
      </c>
      <c r="V34" s="49"/>
      <c r="W34" s="49"/>
      <c r="X34" s="55">
        <f t="shared" si="28"/>
        <v>931.1361083984375</v>
      </c>
      <c r="Z34" s="49">
        <f>Mtoe!AA41*(Z92*(100-Z149)/100000)</f>
        <v>0.47900000000000004</v>
      </c>
      <c r="AA34" s="49">
        <f>Mtoe!AB41*(AA92*(100-AA149)/100000)</f>
        <v>0</v>
      </c>
      <c r="AB34" s="49">
        <f>Mtoe!AC41*(AB92*(100-AB149)/100000)</f>
        <v>0.9380000000000002</v>
      </c>
      <c r="AC34" s="49">
        <f>Mtoe!AD41*(AC92*(100-AC149)/100000)</f>
        <v>0.6755</v>
      </c>
      <c r="AD34" s="49"/>
      <c r="AE34" s="49"/>
      <c r="AF34" s="49"/>
      <c r="AG34" s="49">
        <f>Mtoe!AH41*(AG92*(100-AG149)/100000)</f>
        <v>1.13625</v>
      </c>
      <c r="AH34" s="49"/>
      <c r="AI34" s="49"/>
      <c r="AJ34" s="55">
        <f t="shared" si="29"/>
        <v>3.2287500000000002</v>
      </c>
      <c r="AL34" s="26"/>
      <c r="AM34" s="78" t="s">
        <v>26</v>
      </c>
      <c r="AN34" s="154">
        <f t="shared" si="30"/>
        <v>448.5240927734375</v>
      </c>
      <c r="AO34" s="154">
        <f t="shared" si="31"/>
        <v>0</v>
      </c>
      <c r="AP34" s="154">
        <f t="shared" si="32"/>
        <v>574.40775</v>
      </c>
      <c r="AQ34" s="154">
        <f t="shared" si="33"/>
        <v>0.6755</v>
      </c>
      <c r="AR34" s="154">
        <f t="shared" si="34"/>
        <v>0</v>
      </c>
      <c r="AS34" s="154">
        <f t="shared" si="35"/>
        <v>0</v>
      </c>
      <c r="AT34" s="154">
        <f t="shared" si="36"/>
        <v>0</v>
      </c>
      <c r="AU34" s="154">
        <f t="shared" si="37"/>
        <v>10.442678571428571</v>
      </c>
      <c r="AV34" s="154">
        <f>AV$28*(Mtoe!AI41/Mtoe!AI$35)</f>
        <v>246.77755481067726</v>
      </c>
      <c r="AW34" s="154">
        <f>AW$28*(Mtoe!AJ41/Mtoe!AJ$35)</f>
        <v>8.426149727003827</v>
      </c>
      <c r="AX34" s="157">
        <f t="shared" si="38"/>
        <v>1289.253725882547</v>
      </c>
      <c r="AY34" s="4">
        <f ca="1" t="shared" si="39"/>
        <v>5.90812946163089</v>
      </c>
      <c r="AZ34" s="4" t="s">
        <v>94</v>
      </c>
      <c r="BA34" s="142"/>
      <c r="BB34" s="91"/>
    </row>
    <row r="35" spans="1:54" ht="12.75">
      <c r="A35" s="48" t="s">
        <v>27</v>
      </c>
      <c r="B35" s="49">
        <f>($C$4/B$4)*Mtoe!AA42*(B93*(100-B150)/10)</f>
        <v>1.84765625</v>
      </c>
      <c r="C35" s="49">
        <f>($C$4/C$4)*Mtoe!AB42*(C93*(100-C150)/10)</f>
        <v>0</v>
      </c>
      <c r="D35" s="49">
        <f>($C$4/D$4)*Mtoe!AC42*(D93*(100-D150)/10)</f>
        <v>0.08600000000000001</v>
      </c>
      <c r="E35" s="49">
        <f>($C$4/E$4)*Mtoe!E42*(E93*(100-E150)/10)</f>
        <v>0</v>
      </c>
      <c r="F35" s="49"/>
      <c r="G35" s="49"/>
      <c r="H35" s="49"/>
      <c r="I35" s="49">
        <f>($C$4/I$4)*Mtoe!AH42*(I93*(100-I150)/10)</f>
        <v>0</v>
      </c>
      <c r="J35" s="180"/>
      <c r="K35" s="49"/>
      <c r="L35" s="55">
        <f t="shared" si="27"/>
        <v>1.93365625</v>
      </c>
      <c r="N35" s="49">
        <f>($C$4/B$4)*Mtoe!AA42*((130/32)*(N93*(100-N150)/10))</f>
        <v>7.506103515625001</v>
      </c>
      <c r="O35" s="49">
        <f>($C$4/C$4)*Mtoe!AB42*((130/32)*(O93*(100-O150)/10))</f>
        <v>0</v>
      </c>
      <c r="P35" s="49">
        <f>($C$4/D$4)*Mtoe!AC42*((130/32)*(P93*(100-P150)/10))</f>
        <v>17.46875</v>
      </c>
      <c r="Q35" s="49">
        <f>-($C$4/E$4)*Mtoe!AD42*((130/32)*(Q93*(100-Q150)/10))</f>
        <v>0</v>
      </c>
      <c r="R35" s="49"/>
      <c r="S35" s="49"/>
      <c r="T35" s="49"/>
      <c r="U35" s="49">
        <f>($C$4/I$4)*Mtoe!AH42*((130/32)*(U93*(100-U150)/10))</f>
        <v>0</v>
      </c>
      <c r="V35" s="49"/>
      <c r="W35" s="49"/>
      <c r="X35" s="55">
        <f t="shared" si="28"/>
        <v>24.974853515625</v>
      </c>
      <c r="Z35" s="49">
        <f>Mtoe!AA42*(Z93*(100-Z150)/100000)</f>
        <v>0.025</v>
      </c>
      <c r="AA35" s="49">
        <f>Mtoe!AB42*(AA93*(100-AA150)/100000)</f>
        <v>0</v>
      </c>
      <c r="AB35" s="49">
        <f>Mtoe!AC42*(AB93*(100-AB150)/100000)</f>
        <v>0.043000000000000003</v>
      </c>
      <c r="AC35" s="49">
        <f>Mtoe!AD42*(AC93*(100-AC150)/100000)</f>
        <v>0.12450000000000001</v>
      </c>
      <c r="AD35" s="49"/>
      <c r="AE35" s="49"/>
      <c r="AF35" s="49"/>
      <c r="AG35" s="49">
        <f>Mtoe!AH42*(AG93*(100-AG150)/100000)</f>
        <v>0</v>
      </c>
      <c r="AH35" s="49"/>
      <c r="AI35" s="49"/>
      <c r="AJ35" s="55">
        <f t="shared" si="29"/>
        <v>0.1925</v>
      </c>
      <c r="AL35" s="26"/>
      <c r="AM35" s="78" t="s">
        <v>27</v>
      </c>
      <c r="AN35" s="154">
        <f t="shared" si="30"/>
        <v>9.378759765625</v>
      </c>
      <c r="AO35" s="154">
        <f t="shared" si="31"/>
        <v>0</v>
      </c>
      <c r="AP35" s="154">
        <f t="shared" si="32"/>
        <v>17.597749999999998</v>
      </c>
      <c r="AQ35" s="154">
        <f t="shared" si="33"/>
        <v>0.12450000000000001</v>
      </c>
      <c r="AR35" s="154">
        <f t="shared" si="34"/>
        <v>0</v>
      </c>
      <c r="AS35" s="154">
        <f t="shared" si="35"/>
        <v>0</v>
      </c>
      <c r="AT35" s="154">
        <f t="shared" si="36"/>
        <v>0</v>
      </c>
      <c r="AU35" s="154">
        <f t="shared" si="37"/>
        <v>0</v>
      </c>
      <c r="AV35" s="154">
        <f>AV$28*(Mtoe!AI42/Mtoe!AI$35)</f>
        <v>143.57328580023753</v>
      </c>
      <c r="AW35" s="154">
        <f>AW$28*(Mtoe!AJ42/Mtoe!AJ$35)</f>
        <v>29.023404615235403</v>
      </c>
      <c r="AX35" s="157">
        <f t="shared" si="38"/>
        <v>199.69770018109793</v>
      </c>
      <c r="AY35" s="4">
        <f ca="1" t="shared" si="39"/>
        <v>0.9151339586412505</v>
      </c>
      <c r="AZ35" s="4" t="s">
        <v>94</v>
      </c>
      <c r="BA35" s="142"/>
      <c r="BB35" s="91"/>
    </row>
    <row r="36" spans="1:54" ht="12.75">
      <c r="A36" s="48" t="s">
        <v>28</v>
      </c>
      <c r="B36" s="49">
        <f>($C$4/B$4)*Mtoe!AA43*(B94*(100-B151)/10)</f>
        <v>2.58671875</v>
      </c>
      <c r="C36" s="49">
        <f>($C$4/C$4)*Mtoe!AB43*(C94*(100-C151)/10)</f>
        <v>0</v>
      </c>
      <c r="D36" s="49">
        <f>($C$4/D$4)*Mtoe!AC43*(D94*(100-D151)/10)</f>
        <v>0.35400000000000004</v>
      </c>
      <c r="E36" s="49">
        <f>($C$4/E$4)*Mtoe!E43*(E94*(100-E151)/10)</f>
        <v>0</v>
      </c>
      <c r="F36" s="49"/>
      <c r="G36" s="49"/>
      <c r="H36" s="49"/>
      <c r="I36" s="49">
        <f>($C$4/I$4)*Mtoe!AH43*(I94*(100-I151)/10)</f>
        <v>0.21500000000000002</v>
      </c>
      <c r="J36" s="180"/>
      <c r="K36" s="49"/>
      <c r="L36" s="55">
        <f t="shared" si="27"/>
        <v>3.15571875</v>
      </c>
      <c r="N36" s="49">
        <f>($C$4/B$4)*Mtoe!AA43*((130/32)*(N94*(100-N151)/10))</f>
        <v>10.508544921875002</v>
      </c>
      <c r="O36" s="49">
        <f>($C$4/C$4)*Mtoe!AB43*((130/32)*(O94*(100-O151)/10))</f>
        <v>0</v>
      </c>
      <c r="P36" s="49">
        <f>($C$4/D$4)*Mtoe!AC43*((130/32)*(P94*(100-P151)/10))</f>
        <v>71.90625</v>
      </c>
      <c r="Q36" s="49">
        <f>-($C$4/E$4)*Mtoe!AD43*((130/32)*(Q94*(100-Q151)/10))</f>
        <v>0</v>
      </c>
      <c r="R36" s="49"/>
      <c r="S36" s="49"/>
      <c r="T36" s="49"/>
      <c r="U36" s="49">
        <f>($C$4/I$4)*Mtoe!AH43*((130/32)*(U94*(100-U151)/10))</f>
        <v>0</v>
      </c>
      <c r="V36" s="49"/>
      <c r="W36" s="49"/>
      <c r="X36" s="55">
        <f t="shared" si="28"/>
        <v>82.414794921875</v>
      </c>
      <c r="Z36" s="49">
        <f>Mtoe!AA43*(Z94*(100-Z151)/100000)</f>
        <v>0.035</v>
      </c>
      <c r="AA36" s="49">
        <f>Mtoe!AB43*(AA94*(100-AA151)/100000)</f>
        <v>0</v>
      </c>
      <c r="AB36" s="49">
        <f>Mtoe!AC43*(AB94*(100-AB151)/100000)</f>
        <v>0.17700000000000002</v>
      </c>
      <c r="AC36" s="49">
        <f>Mtoe!AD43*(AC94*(100-AC151)/100000)</f>
        <v>0.3215</v>
      </c>
      <c r="AD36" s="49"/>
      <c r="AE36" s="49"/>
      <c r="AF36" s="49"/>
      <c r="AG36" s="49">
        <f>Mtoe!AH43*(AG94*(100-AG151)/100000)</f>
        <v>0.026250000000000002</v>
      </c>
      <c r="AH36" s="49"/>
      <c r="AI36" s="49"/>
      <c r="AJ36" s="55">
        <f t="shared" si="29"/>
        <v>0.5597500000000001</v>
      </c>
      <c r="AL36" s="26"/>
      <c r="AM36" s="78" t="s">
        <v>28</v>
      </c>
      <c r="AN36" s="154">
        <f t="shared" si="30"/>
        <v>13.130263671875003</v>
      </c>
      <c r="AO36" s="154">
        <f t="shared" si="31"/>
        <v>0</v>
      </c>
      <c r="AP36" s="154">
        <f t="shared" si="32"/>
        <v>72.43725</v>
      </c>
      <c r="AQ36" s="154">
        <f t="shared" si="33"/>
        <v>0.3215</v>
      </c>
      <c r="AR36" s="154">
        <f t="shared" si="34"/>
        <v>0</v>
      </c>
      <c r="AS36" s="154">
        <f t="shared" si="35"/>
        <v>0</v>
      </c>
      <c r="AT36" s="154">
        <f t="shared" si="36"/>
        <v>0</v>
      </c>
      <c r="AU36" s="154">
        <f t="shared" si="37"/>
        <v>0.24125000000000002</v>
      </c>
      <c r="AV36" s="154">
        <f>AV$28*(Mtoe!AI43/Mtoe!AI$35)</f>
        <v>301.53900367335956</v>
      </c>
      <c r="AW36" s="154">
        <f>AW$28*(Mtoe!AJ43/Mtoe!AJ$35)</f>
        <v>24.810329751733487</v>
      </c>
      <c r="AX36" s="157">
        <f t="shared" si="38"/>
        <v>412.47959709696806</v>
      </c>
      <c r="AY36" s="4">
        <f ca="1" t="shared" si="39"/>
        <v>1.890227509920145</v>
      </c>
      <c r="AZ36" s="4" t="s">
        <v>94</v>
      </c>
      <c r="BA36" s="142"/>
      <c r="BB36" s="91"/>
    </row>
    <row r="37" spans="1:54" ht="12.75">
      <c r="A37" s="48" t="s">
        <v>29</v>
      </c>
      <c r="B37" s="49">
        <f>($C$4/B$4)*Mtoe!AA44*(B95*(100-B152)/10)</f>
        <v>6.466796875</v>
      </c>
      <c r="C37" s="49">
        <f>($C$4/C$4)*Mtoe!AB44*(C95*(100-C152)/10)</f>
        <v>0</v>
      </c>
      <c r="D37" s="49">
        <f>($C$4/D$4)*Mtoe!AC44*(D95*(100-D152)/10)</f>
        <v>0.146</v>
      </c>
      <c r="E37" s="49">
        <f>($C$4/E$4)*Mtoe!E44*(E95*(100-E152)/10)</f>
        <v>0</v>
      </c>
      <c r="F37" s="49"/>
      <c r="G37" s="49"/>
      <c r="H37" s="49"/>
      <c r="I37" s="49">
        <f>($C$4/I$4)*Mtoe!AH44*(I95*(100-I152)/10)</f>
        <v>0.15357142857142858</v>
      </c>
      <c r="J37" s="180"/>
      <c r="K37" s="49"/>
      <c r="L37" s="55">
        <f t="shared" si="27"/>
        <v>6.766368303571428</v>
      </c>
      <c r="N37" s="49">
        <f>($C$4/B$4)*Mtoe!AA44*((130/32)*(N95*(100-N152)/10))</f>
        <v>10.508544921875002</v>
      </c>
      <c r="O37" s="49">
        <f>($C$4/C$4)*Mtoe!AB44*((130/32)*(O95*(100-O152)/10))</f>
        <v>0</v>
      </c>
      <c r="P37" s="49">
        <f>($C$4/D$4)*Mtoe!AC44*((130/32)*(P95*(100-P152)/10))</f>
        <v>5.9312499999999995</v>
      </c>
      <c r="Q37" s="49">
        <f>-($C$4/E$4)*Mtoe!AD44*((130/32)*(Q95*(100-Q152)/10))</f>
        <v>0</v>
      </c>
      <c r="R37" s="49"/>
      <c r="S37" s="49"/>
      <c r="T37" s="49"/>
      <c r="U37" s="49">
        <f>($C$4/I$4)*Mtoe!AH44*((130/32)*(U95*(100-U152)/10))</f>
        <v>0</v>
      </c>
      <c r="V37" s="49"/>
      <c r="W37" s="49"/>
      <c r="X37" s="55">
        <f t="shared" si="28"/>
        <v>16.439794921875002</v>
      </c>
      <c r="Z37" s="49">
        <f>Mtoe!AA44*(Z95*(100-Z152)/100000)</f>
        <v>0.035</v>
      </c>
      <c r="AA37" s="49">
        <f>Mtoe!AB44*(AA95*(100-AA152)/100000)</f>
        <v>0</v>
      </c>
      <c r="AB37" s="49">
        <f>Mtoe!AC44*(AB95*(100-AB152)/100000)</f>
        <v>0.073</v>
      </c>
      <c r="AC37" s="49">
        <f>Mtoe!AD44*(AC95*(100-AC152)/100000)</f>
        <v>0.023000000000000003</v>
      </c>
      <c r="AD37" s="49"/>
      <c r="AE37" s="49"/>
      <c r="AF37" s="49"/>
      <c r="AG37" s="49">
        <f>Mtoe!AH44*(AG95*(100-AG152)/100000)</f>
        <v>0.0075</v>
      </c>
      <c r="AH37" s="49"/>
      <c r="AI37" s="49"/>
      <c r="AJ37" s="55">
        <f t="shared" si="29"/>
        <v>0.1385</v>
      </c>
      <c r="AL37" s="26"/>
      <c r="AM37" s="78" t="s">
        <v>29</v>
      </c>
      <c r="AN37" s="154">
        <f t="shared" si="30"/>
        <v>17.010341796875</v>
      </c>
      <c r="AO37" s="154">
        <f t="shared" si="31"/>
        <v>0</v>
      </c>
      <c r="AP37" s="154">
        <f t="shared" si="32"/>
        <v>6.15025</v>
      </c>
      <c r="AQ37" s="154">
        <f t="shared" si="33"/>
        <v>0.023000000000000003</v>
      </c>
      <c r="AR37" s="154">
        <f t="shared" si="34"/>
        <v>0</v>
      </c>
      <c r="AS37" s="154">
        <f t="shared" si="35"/>
        <v>0</v>
      </c>
      <c r="AT37" s="154">
        <f t="shared" si="36"/>
        <v>0</v>
      </c>
      <c r="AU37" s="154">
        <f t="shared" si="37"/>
        <v>0.1610714285714286</v>
      </c>
      <c r="AV37" s="154">
        <f>AV$28*(Mtoe!AI44/Mtoe!AI$35)</f>
        <v>43.52833114726028</v>
      </c>
      <c r="AW37" s="154">
        <f>AW$28*(Mtoe!AJ44/Mtoe!AJ$35)</f>
        <v>7.489910868447846</v>
      </c>
      <c r="AX37" s="157">
        <f t="shared" si="38"/>
        <v>74.36290524115456</v>
      </c>
      <c r="AY37" s="4">
        <f ca="1" t="shared" si="39"/>
        <v>0.34077518062395457</v>
      </c>
      <c r="AZ37" s="4" t="s">
        <v>94</v>
      </c>
      <c r="BA37" s="142"/>
      <c r="BB37" s="91"/>
    </row>
    <row r="38" spans="1:54" ht="12.75">
      <c r="A38" s="48" t="s">
        <v>30</v>
      </c>
      <c r="B38" s="49">
        <f>($C$4/B$4)*Mtoe!AA45*(B96*(100-B153)/10)</f>
        <v>28.638671875</v>
      </c>
      <c r="C38" s="49">
        <f>($C$4/C$4)*Mtoe!AB45*(C96*(100-C153)/10)</f>
        <v>0</v>
      </c>
      <c r="D38" s="49">
        <f>($C$4/D$4)*Mtoe!AC45*(D96*(100-D153)/10)</f>
        <v>0.66</v>
      </c>
      <c r="E38" s="49">
        <f>($C$4/E$4)*Mtoe!E45*(E96*(100-E153)/10)</f>
        <v>0</v>
      </c>
      <c r="F38" s="49"/>
      <c r="G38" s="49"/>
      <c r="H38" s="49"/>
      <c r="I38" s="49">
        <f>($C$4/I$4)*Mtoe!AH45*(I96*(100-I153)/10)</f>
        <v>3.8392857142857144</v>
      </c>
      <c r="J38" s="180"/>
      <c r="K38" s="49"/>
      <c r="L38" s="55">
        <f t="shared" si="27"/>
        <v>33.13795758928571</v>
      </c>
      <c r="N38" s="49">
        <f>($C$4/B$4)*Mtoe!AA45*((130/32)*(N96*(100-N153)/10))</f>
        <v>116.34460449218751</v>
      </c>
      <c r="O38" s="49">
        <f>($C$4/C$4)*Mtoe!AB45*((130/32)*(O96*(100-O153)/10))</f>
        <v>0</v>
      </c>
      <c r="P38" s="49">
        <f>($C$4/D$4)*Mtoe!AC45*((130/32)*(P96*(100-P153)/10))</f>
        <v>26.8125</v>
      </c>
      <c r="Q38" s="49">
        <f>-($C$4/E$4)*Mtoe!AD45*((130/32)*(Q96*(100-Q153)/10))</f>
        <v>0</v>
      </c>
      <c r="R38" s="49"/>
      <c r="S38" s="49"/>
      <c r="T38" s="49"/>
      <c r="U38" s="49">
        <f>($C$4/I$4)*Mtoe!AH45*((130/32)*(U96*(100-U153)/10))</f>
        <v>0</v>
      </c>
      <c r="V38" s="49"/>
      <c r="W38" s="49"/>
      <c r="X38" s="55">
        <f t="shared" si="28"/>
        <v>143.1571044921875</v>
      </c>
      <c r="Z38" s="49">
        <f>Mtoe!AA45*(Z96*(100-Z153)/100000)</f>
        <v>0.775</v>
      </c>
      <c r="AA38" s="49">
        <f>Mtoe!AB45*(AA96*(100-AA153)/100000)</f>
        <v>0</v>
      </c>
      <c r="AB38" s="49">
        <f>Mtoe!AC45*(AB96*(100-AB153)/100000)</f>
        <v>0.33</v>
      </c>
      <c r="AC38" s="49">
        <f>Mtoe!AD45*(AC96*(100-AC153)/100000)</f>
        <v>0.5685</v>
      </c>
      <c r="AD38" s="49"/>
      <c r="AE38" s="49"/>
      <c r="AF38" s="49"/>
      <c r="AG38" s="49">
        <f>Mtoe!AH45*(AG96*(100-AG153)/100000)</f>
        <v>0.46875</v>
      </c>
      <c r="AH38" s="49"/>
      <c r="AI38" s="49"/>
      <c r="AJ38" s="55">
        <f t="shared" si="29"/>
        <v>2.1422499999999998</v>
      </c>
      <c r="AL38" s="26"/>
      <c r="AM38" s="78" t="s">
        <v>30</v>
      </c>
      <c r="AN38" s="154">
        <f t="shared" si="30"/>
        <v>145.7582763671875</v>
      </c>
      <c r="AO38" s="154">
        <f t="shared" si="31"/>
        <v>0</v>
      </c>
      <c r="AP38" s="154">
        <f t="shared" si="32"/>
        <v>27.8025</v>
      </c>
      <c r="AQ38" s="154">
        <f t="shared" si="33"/>
        <v>0.5685</v>
      </c>
      <c r="AR38" s="154">
        <f t="shared" si="34"/>
        <v>0</v>
      </c>
      <c r="AS38" s="154">
        <f t="shared" si="35"/>
        <v>0</v>
      </c>
      <c r="AT38" s="154">
        <f t="shared" si="36"/>
        <v>0</v>
      </c>
      <c r="AU38" s="154">
        <f t="shared" si="37"/>
        <v>4.308035714285714</v>
      </c>
      <c r="AV38" s="154">
        <f>AV$28*(Mtoe!AI45/Mtoe!AI$35)</f>
        <v>349.63078889251005</v>
      </c>
      <c r="AW38" s="154">
        <f>AW$28*(Mtoe!AJ45/Mtoe!AJ$35)</f>
        <v>44.00322635213109</v>
      </c>
      <c r="AX38" s="157">
        <f t="shared" si="38"/>
        <v>572.0713273261143</v>
      </c>
      <c r="AY38" s="4">
        <f ca="1" t="shared" si="39"/>
        <v>2.621571995703207</v>
      </c>
      <c r="AZ38" s="4" t="s">
        <v>94</v>
      </c>
      <c r="BA38" s="142"/>
      <c r="BB38" s="91"/>
    </row>
    <row r="39" spans="1:54" ht="12.75">
      <c r="A39" s="48" t="s">
        <v>31</v>
      </c>
      <c r="B39" s="49">
        <f>($C$4/B$4)*Mtoe!AA46*(B97*(100-B154)/10)</f>
        <v>2.1617578125</v>
      </c>
      <c r="C39" s="49">
        <f>($C$4/C$4)*Mtoe!AB46*(C97*(100-C154)/10)</f>
        <v>0</v>
      </c>
      <c r="D39" s="49">
        <f>($C$4/D$4)*Mtoe!AC46*(D97*(100-D154)/10)</f>
        <v>0.30800000000000005</v>
      </c>
      <c r="E39" s="49">
        <f>($C$4/E$4)*Mtoe!E46*(E97*(100-E154)/10)</f>
        <v>0</v>
      </c>
      <c r="F39" s="49"/>
      <c r="G39" s="49"/>
      <c r="H39" s="49"/>
      <c r="I39" s="49">
        <f>($C$4/I$4)*Mtoe!AH46*(I97*(100-I154)/10)</f>
        <v>3.3877857142857146</v>
      </c>
      <c r="J39" s="180"/>
      <c r="K39" s="49"/>
      <c r="L39" s="55">
        <f t="shared" si="27"/>
        <v>5.857543526785715</v>
      </c>
      <c r="N39" s="49">
        <f>($C$4/B$4)*Mtoe!AA46*((130/32)*(N97*(100-N154)/10))</f>
        <v>87.82141113281251</v>
      </c>
      <c r="O39" s="49">
        <f>($C$4/C$4)*Mtoe!AB46*((130/32)*(O97*(100-O154)/10))</f>
        <v>0</v>
      </c>
      <c r="P39" s="49">
        <f>($C$4/D$4)*Mtoe!AC46*((130/32)*(P97*(100-P154)/10))</f>
        <v>93.84375</v>
      </c>
      <c r="Q39" s="49">
        <f>-($C$4/E$4)*Mtoe!AD46*((130/32)*(Q97*(100-Q154)/10))</f>
        <v>0</v>
      </c>
      <c r="R39" s="49"/>
      <c r="S39" s="49"/>
      <c r="T39" s="49"/>
      <c r="U39" s="49">
        <f>($C$4/I$4)*Mtoe!AH46*((130/32)*(U97*(100-U154)/10))</f>
        <v>46.79379017857143</v>
      </c>
      <c r="V39" s="49"/>
      <c r="W39" s="49"/>
      <c r="X39" s="55">
        <f t="shared" si="28"/>
        <v>228.45895131138394</v>
      </c>
      <c r="Z39" s="49">
        <f>Mtoe!AA46*(Z97*(100-Z154)/100000)</f>
        <v>0.0117</v>
      </c>
      <c r="AA39" s="49">
        <f>Mtoe!AB46*(AA97*(100-AA154)/100000)</f>
        <v>0</v>
      </c>
      <c r="AB39" s="49">
        <f>Mtoe!AC46*(AB97*(100-AB154)/100000)</f>
        <v>0.15400000000000003</v>
      </c>
      <c r="AC39" s="49">
        <f>Mtoe!AD46*(AC97*(100-AC154)/100000)</f>
        <v>0.37050000000000005</v>
      </c>
      <c r="AD39" s="49"/>
      <c r="AE39" s="49"/>
      <c r="AF39" s="49"/>
      <c r="AG39" s="49">
        <f>Mtoe!AH46*(AG97*(100-AG154)/100000)</f>
        <v>0.16544999999999999</v>
      </c>
      <c r="AH39" s="49"/>
      <c r="AI39" s="49"/>
      <c r="AJ39" s="55">
        <f t="shared" si="29"/>
        <v>0.70165</v>
      </c>
      <c r="AL39" s="26"/>
      <c r="AM39" s="78" t="s">
        <v>31</v>
      </c>
      <c r="AN39" s="154">
        <f t="shared" si="30"/>
        <v>89.99486894531252</v>
      </c>
      <c r="AO39" s="154">
        <f t="shared" si="31"/>
        <v>0</v>
      </c>
      <c r="AP39" s="154">
        <f t="shared" si="32"/>
        <v>94.30575</v>
      </c>
      <c r="AQ39" s="154">
        <f t="shared" si="33"/>
        <v>0.37050000000000005</v>
      </c>
      <c r="AR39" s="154">
        <f t="shared" si="34"/>
        <v>0</v>
      </c>
      <c r="AS39" s="154">
        <f t="shared" si="35"/>
        <v>0</v>
      </c>
      <c r="AT39" s="154">
        <f t="shared" si="36"/>
        <v>0</v>
      </c>
      <c r="AU39" s="154">
        <f t="shared" si="37"/>
        <v>50.34702589285714</v>
      </c>
      <c r="AV39" s="154">
        <f>AV$28*(Mtoe!AI46/Mtoe!AI$35)</f>
        <v>398.4246439688743</v>
      </c>
      <c r="AW39" s="154">
        <f>AW$28*(Mtoe!AJ46/Mtoe!AJ$35)</f>
        <v>92.6876469970421</v>
      </c>
      <c r="AX39" s="157">
        <f t="shared" si="38"/>
        <v>726.130435804086</v>
      </c>
      <c r="AY39" s="4">
        <f ca="1" t="shared" si="39"/>
        <v>3.327562709058116</v>
      </c>
      <c r="AZ39" s="4" t="s">
        <v>94</v>
      </c>
      <c r="BA39" s="142"/>
      <c r="BB39" s="91"/>
    </row>
    <row r="40" spans="1:54" ht="12.75">
      <c r="A40" s="48" t="s">
        <v>32</v>
      </c>
      <c r="B40" s="49">
        <f>($C$4/B$4)*Mtoe!AA47*(B98*(100-B155)/10)</f>
        <v>6.282031250000001</v>
      </c>
      <c r="C40" s="49">
        <f>($C$4/C$4)*Mtoe!AB47*(C98*(100-C155)/10)</f>
        <v>0</v>
      </c>
      <c r="D40" s="49">
        <f>($C$4/D$4)*Mtoe!AC47*(D98*(100-D155)/10)</f>
        <v>0.048</v>
      </c>
      <c r="E40" s="49">
        <f>($C$4/E$4)*Mtoe!E47*(E98*(100-E155)/10)</f>
        <v>0</v>
      </c>
      <c r="F40" s="49"/>
      <c r="G40" s="49"/>
      <c r="H40" s="49"/>
      <c r="I40" s="49">
        <f>($C$4/I$4)*Mtoe!AH47*(I98*(100-I155)/10)</f>
        <v>13.606428571428571</v>
      </c>
      <c r="J40" s="180"/>
      <c r="K40" s="49"/>
      <c r="L40" s="55">
        <f t="shared" si="27"/>
        <v>19.93645982142857</v>
      </c>
      <c r="N40" s="49">
        <f>($C$4/B$4)*Mtoe!AA47*((130/32)*(N98*(100-N155)/10))</f>
        <v>25.520751953125007</v>
      </c>
      <c r="O40" s="49">
        <f>($C$4/C$4)*Mtoe!AB47*((130/32)*(O98*(100-O155)/10))</f>
        <v>0</v>
      </c>
      <c r="P40" s="49">
        <f>($C$4/D$4)*Mtoe!AC47*((130/32)*(P98*(100-P155)/10))</f>
        <v>14.625</v>
      </c>
      <c r="Q40" s="49">
        <f>-($C$4/E$4)*Mtoe!AD47*((130/32)*(Q98*(100-Q155)/10))</f>
        <v>0</v>
      </c>
      <c r="R40" s="49"/>
      <c r="S40" s="49"/>
      <c r="T40" s="49"/>
      <c r="U40" s="49">
        <f>($C$4/I$4)*Mtoe!AH47*((130/32)*(U98*(100-U155)/10))</f>
        <v>11.055223214285714</v>
      </c>
      <c r="V40" s="49"/>
      <c r="W40" s="49"/>
      <c r="X40" s="55">
        <f t="shared" si="28"/>
        <v>51.20097516741072</v>
      </c>
      <c r="Z40" s="49">
        <f>Mtoe!AA47*(Z98*(100-Z155)/100000)</f>
        <v>0.034</v>
      </c>
      <c r="AA40" s="49">
        <f>Mtoe!AB47*(AA98*(100-AA155)/100000)</f>
        <v>0</v>
      </c>
      <c r="AB40" s="49">
        <f>Mtoe!AC47*(AB98*(100-AB155)/100000)</f>
        <v>0.024</v>
      </c>
      <c r="AC40" s="49">
        <f>Mtoe!AD47*(AC98*(100-AC155)/100000)</f>
        <v>0.028999999999999998</v>
      </c>
      <c r="AD40" s="49"/>
      <c r="AE40" s="49"/>
      <c r="AF40" s="49"/>
      <c r="AG40" s="49">
        <f>Mtoe!AH47*(AG98*(100-AG155)/100000)</f>
        <v>0.6645</v>
      </c>
      <c r="AH40" s="49"/>
      <c r="AI40" s="49"/>
      <c r="AJ40" s="55">
        <f t="shared" si="29"/>
        <v>0.7515</v>
      </c>
      <c r="AL40" s="26"/>
      <c r="AM40" s="78" t="s">
        <v>32</v>
      </c>
      <c r="AN40" s="154">
        <f t="shared" si="30"/>
        <v>31.83678320312501</v>
      </c>
      <c r="AO40" s="154">
        <f t="shared" si="31"/>
        <v>0</v>
      </c>
      <c r="AP40" s="154">
        <f t="shared" si="32"/>
        <v>14.697</v>
      </c>
      <c r="AQ40" s="154">
        <f t="shared" si="33"/>
        <v>0.028999999999999998</v>
      </c>
      <c r="AR40" s="154">
        <f t="shared" si="34"/>
        <v>0</v>
      </c>
      <c r="AS40" s="154">
        <f t="shared" si="35"/>
        <v>0</v>
      </c>
      <c r="AT40" s="154">
        <f t="shared" si="36"/>
        <v>0</v>
      </c>
      <c r="AU40" s="154">
        <f t="shared" si="37"/>
        <v>25.326151785714284</v>
      </c>
      <c r="AV40" s="154">
        <f>AV$28*(Mtoe!AI47/Mtoe!AI$35)</f>
        <v>78.28078907934712</v>
      </c>
      <c r="AW40" s="154">
        <f>AW$28*(Mtoe!AJ47/Mtoe!AJ$35)</f>
        <v>21.065374317509566</v>
      </c>
      <c r="AX40" s="157">
        <f t="shared" si="38"/>
        <v>171.23509838569598</v>
      </c>
      <c r="AY40" s="4">
        <f ca="1" t="shared" si="39"/>
        <v>0.784701342588914</v>
      </c>
      <c r="AZ40" s="4" t="s">
        <v>94</v>
      </c>
      <c r="BA40" s="142"/>
      <c r="BB40" s="91"/>
    </row>
    <row r="41" spans="1:54" ht="12.75">
      <c r="A41" s="48" t="s">
        <v>33</v>
      </c>
      <c r="B41" s="49">
        <f>($C$4/B$4)*Mtoe!AA48*(B99*(100-B156)/10)</f>
        <v>41.572265625</v>
      </c>
      <c r="C41" s="49">
        <f>($C$4/C$4)*Mtoe!AB48*(C99*(100-C156)/10)</f>
        <v>0</v>
      </c>
      <c r="D41" s="49">
        <f>($C$4/D$4)*Mtoe!AC48*(D99*(100-D156)/10)</f>
        <v>0.664</v>
      </c>
      <c r="E41" s="49">
        <f>($C$4/E$4)*Mtoe!E48*(E99*(100-E156)/10)</f>
        <v>0</v>
      </c>
      <c r="F41" s="49"/>
      <c r="G41" s="49"/>
      <c r="H41" s="49"/>
      <c r="I41" s="49">
        <f>($C$4/I$4)*Mtoe!AH48*(I99*(100-I156)/10)</f>
        <v>0.3685714285714286</v>
      </c>
      <c r="J41" s="180"/>
      <c r="K41" s="49"/>
      <c r="L41" s="55">
        <f t="shared" si="27"/>
        <v>42.60483705357143</v>
      </c>
      <c r="N41" s="49">
        <f>($C$4/B$4)*Mtoe!AA48*((130/32)*(N99*(100-N156)/10))</f>
        <v>168.88732910156253</v>
      </c>
      <c r="O41" s="49">
        <f>($C$4/C$4)*Mtoe!AB48*((130/32)*(O99*(100-O156)/10))</f>
        <v>0</v>
      </c>
      <c r="P41" s="49">
        <f>($C$4/D$4)*Mtoe!AC48*((130/32)*(P99*(100-P156)/10))</f>
        <v>26.974999999999998</v>
      </c>
      <c r="Q41" s="49">
        <f>-($C$4/E$4)*Mtoe!AD48*((130/32)*(Q99*(100-Q156)/10))</f>
        <v>0</v>
      </c>
      <c r="R41" s="49"/>
      <c r="S41" s="49"/>
      <c r="T41" s="49"/>
      <c r="U41" s="49">
        <f>($C$4/I$4)*Mtoe!AH48*((130/32)*(U99*(100-U156)/10))</f>
        <v>0</v>
      </c>
      <c r="V41" s="49"/>
      <c r="W41" s="49"/>
      <c r="X41" s="55">
        <f t="shared" si="28"/>
        <v>195.86232910156252</v>
      </c>
      <c r="Z41" s="49">
        <f>Mtoe!AA48*(Z99*(100-Z156)/100000)</f>
        <v>2.8125</v>
      </c>
      <c r="AA41" s="49">
        <f>Mtoe!AB48*(AA99*(100-AA156)/100000)</f>
        <v>0</v>
      </c>
      <c r="AB41" s="49">
        <f>Mtoe!AC48*(AB99*(100-AB156)/100000)</f>
        <v>0.332</v>
      </c>
      <c r="AC41" s="49">
        <f>Mtoe!AD48*(AC99*(100-AC156)/100000)</f>
        <v>0.04650000000000001</v>
      </c>
      <c r="AD41" s="49"/>
      <c r="AE41" s="49"/>
      <c r="AF41" s="49"/>
      <c r="AG41" s="49">
        <f>Mtoe!AH48*(AG99*(100-AG156)/100000)</f>
        <v>0.045</v>
      </c>
      <c r="AH41" s="49"/>
      <c r="AI41" s="49"/>
      <c r="AJ41" s="55">
        <f t="shared" si="29"/>
        <v>3.2359999999999998</v>
      </c>
      <c r="AL41" s="26"/>
      <c r="AM41" s="78" t="s">
        <v>33</v>
      </c>
      <c r="AN41" s="154">
        <f t="shared" si="30"/>
        <v>213.27209472656253</v>
      </c>
      <c r="AO41" s="154">
        <f t="shared" si="31"/>
        <v>0</v>
      </c>
      <c r="AP41" s="154">
        <f t="shared" si="32"/>
        <v>27.971</v>
      </c>
      <c r="AQ41" s="154">
        <f t="shared" si="33"/>
        <v>0.04650000000000001</v>
      </c>
      <c r="AR41" s="154">
        <f t="shared" si="34"/>
        <v>0</v>
      </c>
      <c r="AS41" s="154">
        <f t="shared" si="35"/>
        <v>0</v>
      </c>
      <c r="AT41" s="154">
        <f t="shared" si="36"/>
        <v>0</v>
      </c>
      <c r="AU41" s="154">
        <f t="shared" si="37"/>
        <v>0.4135714285714286</v>
      </c>
      <c r="AV41" s="154">
        <f>AV$28*(Mtoe!AI48/Mtoe!AI$35)</f>
        <v>60.026972791786356</v>
      </c>
      <c r="AW41" s="154">
        <f>AW$28*(Mtoe!AJ48/Mtoe!AJ$35)</f>
        <v>2.8087165756679418</v>
      </c>
      <c r="AX41" s="157">
        <f t="shared" si="38"/>
        <v>304.5388555225882</v>
      </c>
      <c r="AY41" s="4">
        <f ca="1" t="shared" si="39"/>
        <v>1.3955786579501197</v>
      </c>
      <c r="AZ41" s="4" t="s">
        <v>94</v>
      </c>
      <c r="BA41" s="142"/>
      <c r="BB41" s="91"/>
    </row>
    <row r="42" spans="1:54" ht="12.75">
      <c r="A42" s="48" t="s">
        <v>34</v>
      </c>
      <c r="B42" s="49">
        <f>($C$4/B$4)*Mtoe!AA49*(B100*(100-B157)/10)</f>
        <v>3.1410156250000005</v>
      </c>
      <c r="C42" s="49">
        <f>($C$4/C$4)*Mtoe!AB49*(C100*(100-C157)/10)</f>
        <v>0</v>
      </c>
      <c r="D42" s="49">
        <f>($C$4/D$4)*Mtoe!AC49*(D100*(100-D157)/10)</f>
        <v>0.11399999999999999</v>
      </c>
      <c r="E42" s="49">
        <f>($C$4/E$4)*Mtoe!E49*(E100*(100-E157)/10)</f>
        <v>0</v>
      </c>
      <c r="F42" s="49"/>
      <c r="G42" s="49"/>
      <c r="H42" s="49"/>
      <c r="I42" s="49">
        <f>($C$4/I$4)*Mtoe!AH49*(I100*(100-I157)/10)</f>
        <v>0.21500000000000002</v>
      </c>
      <c r="J42" s="180"/>
      <c r="K42" s="49"/>
      <c r="L42" s="55">
        <f t="shared" si="27"/>
        <v>3.4700156250000003</v>
      </c>
      <c r="N42" s="49">
        <f>($C$4/B$4)*Mtoe!AA49*((130/32)*(N100*(100-N157)/10))</f>
        <v>12.760375976562504</v>
      </c>
      <c r="O42" s="49">
        <f>($C$4/C$4)*Mtoe!AB49*((130/32)*(O100*(100-O157)/10))</f>
        <v>0</v>
      </c>
      <c r="P42" s="49">
        <f>($C$4/D$4)*Mtoe!AC49*((130/32)*(P100*(100-P157)/10))</f>
        <v>4.63125</v>
      </c>
      <c r="Q42" s="49">
        <f>-($C$4/E$4)*Mtoe!AD49*((130/32)*(Q100*(100-Q157)/10))</f>
        <v>0</v>
      </c>
      <c r="R42" s="49"/>
      <c r="S42" s="49"/>
      <c r="T42" s="49"/>
      <c r="U42" s="49">
        <f>($C$4/I$4)*Mtoe!AH49*((130/32)*(U100*(100-U157)/10))</f>
        <v>0</v>
      </c>
      <c r="V42" s="49"/>
      <c r="W42" s="49"/>
      <c r="X42" s="55">
        <f t="shared" si="28"/>
        <v>17.3916259765625</v>
      </c>
      <c r="Z42" s="49">
        <f>Mtoe!AA49*(Z100*(100-Z157)/100000)</f>
        <v>0.0425</v>
      </c>
      <c r="AA42" s="49">
        <f>Mtoe!AB49*(AA100*(100-AA157)/100000)</f>
        <v>0</v>
      </c>
      <c r="AB42" s="49">
        <f>Mtoe!AC49*(AB100*(100-AB157)/100000)</f>
        <v>0.056999999999999995</v>
      </c>
      <c r="AC42" s="49">
        <f>Mtoe!AD49*(AC100*(100-AC157)/100000)</f>
        <v>0.12250000000000001</v>
      </c>
      <c r="AD42" s="49"/>
      <c r="AE42" s="49"/>
      <c r="AF42" s="49"/>
      <c r="AG42" s="49">
        <f>Mtoe!AH49*(AG100*(100-AG157)/100000)</f>
        <v>0.026250000000000002</v>
      </c>
      <c r="AH42" s="49"/>
      <c r="AI42" s="49"/>
      <c r="AJ42" s="55">
        <f t="shared" si="29"/>
        <v>0.24825000000000003</v>
      </c>
      <c r="AL42" s="26"/>
      <c r="AM42" s="78" t="s">
        <v>34</v>
      </c>
      <c r="AN42" s="154">
        <f t="shared" si="30"/>
        <v>15.943891601562505</v>
      </c>
      <c r="AO42" s="154">
        <f t="shared" si="31"/>
        <v>0</v>
      </c>
      <c r="AP42" s="154">
        <f t="shared" si="32"/>
        <v>4.80225</v>
      </c>
      <c r="AQ42" s="154">
        <f t="shared" si="33"/>
        <v>0.12250000000000001</v>
      </c>
      <c r="AR42" s="154">
        <f t="shared" si="34"/>
        <v>0</v>
      </c>
      <c r="AS42" s="154">
        <f t="shared" si="35"/>
        <v>0</v>
      </c>
      <c r="AT42" s="154">
        <f t="shared" si="36"/>
        <v>0</v>
      </c>
      <c r="AU42" s="154">
        <f t="shared" si="37"/>
        <v>0.24125000000000002</v>
      </c>
      <c r="AV42" s="154">
        <f>AV$28*(Mtoe!AI49/Mtoe!AI$35)</f>
        <v>104.25737379626052</v>
      </c>
      <c r="AW42" s="154">
        <f>AW$28*(Mtoe!AJ49/Mtoe!AJ$35)</f>
        <v>7.021791439169855</v>
      </c>
      <c r="AX42" s="157">
        <f t="shared" si="38"/>
        <v>132.3890568369929</v>
      </c>
      <c r="AY42" s="142">
        <f ca="1" t="shared" si="39"/>
        <v>0.6066856130749093</v>
      </c>
      <c r="AZ42" s="142" t="s">
        <v>94</v>
      </c>
      <c r="BA42" s="142"/>
      <c r="BB42" s="91"/>
    </row>
    <row r="43" spans="1:54" ht="13.5" thickBot="1">
      <c r="A43" s="57" t="s">
        <v>35</v>
      </c>
      <c r="B43" s="181">
        <f>($C$4/B$4)*Mtoe!AA50*(B101*(100-B158)/10)</f>
        <v>43.789453125</v>
      </c>
      <c r="C43" s="58">
        <f>($C$4/C$4)*Mtoe!AB50*(C101*(100-C158)/10)</f>
        <v>0</v>
      </c>
      <c r="D43" s="58">
        <f>($C$4/D$4)*Mtoe!AC50*(D101*(100-D158)/10)</f>
        <v>1.3</v>
      </c>
      <c r="E43" s="58">
        <f>($C$4/E$4)*Mtoe!E50*(E101*(100-E158)/10)</f>
        <v>0</v>
      </c>
      <c r="F43" s="58"/>
      <c r="G43" s="58"/>
      <c r="H43" s="58"/>
      <c r="I43" s="58">
        <f>($C$4/I$4)*Mtoe!AH50*(I101*(100-I158)/10)</f>
        <v>3.3478571428571433</v>
      </c>
      <c r="J43" s="190"/>
      <c r="K43" s="58"/>
      <c r="L43" s="67">
        <f t="shared" si="27"/>
        <v>48.43731026785714</v>
      </c>
      <c r="M43" s="203"/>
      <c r="N43" s="58">
        <f>($C$4/B$4)*Mtoe!AA50*((130/32)*(N101*(100-N158)/10))</f>
        <v>177.89465332031253</v>
      </c>
      <c r="O43" s="58">
        <f>($C$4/C$4)*Mtoe!AB50*((130/32)*(O101*(100-O158)/10))</f>
        <v>0</v>
      </c>
      <c r="P43" s="58">
        <f>($C$4/D$4)*Mtoe!AC50*((130/32)*(P101*(100-P158)/10))</f>
        <v>264.0625</v>
      </c>
      <c r="Q43" s="58">
        <f>-($C$4/E$4)*Mtoe!AD50*((130/32)*(Q101*(100-Q158)/10))</f>
        <v>0</v>
      </c>
      <c r="R43" s="58"/>
      <c r="S43" s="58"/>
      <c r="T43" s="58"/>
      <c r="U43" s="58">
        <f>($C$4/I$4)*Mtoe!AH50*((130/32)*(U101*(100-U158)/10))</f>
        <v>0</v>
      </c>
      <c r="V43" s="58"/>
      <c r="W43" s="58"/>
      <c r="X43" s="67">
        <f t="shared" si="28"/>
        <v>441.9571533203125</v>
      </c>
      <c r="Z43" s="181">
        <f>Mtoe!AA50*(Z101*(100-Z158)/100000)</f>
        <v>0.5925</v>
      </c>
      <c r="AA43" s="58">
        <f>Mtoe!AB50*(AA101*(100-AA158)/100000)</f>
        <v>0</v>
      </c>
      <c r="AB43" s="58">
        <f>Mtoe!AC50*(AB101*(100-AB158)/100000)</f>
        <v>0.65</v>
      </c>
      <c r="AC43" s="58">
        <f>Mtoe!AD50*(AC101*(100-AC158)/100000)</f>
        <v>0.22200000000000003</v>
      </c>
      <c r="AD43" s="58"/>
      <c r="AE43" s="58"/>
      <c r="AF43" s="58"/>
      <c r="AG43" s="58">
        <f>Mtoe!AH50*(AG101*(100-AG158)/100000)</f>
        <v>0.40875000000000006</v>
      </c>
      <c r="AH43" s="58"/>
      <c r="AI43" s="58"/>
      <c r="AJ43" s="67">
        <f t="shared" si="29"/>
        <v>1.87325</v>
      </c>
      <c r="AL43" s="26"/>
      <c r="AM43" s="79" t="s">
        <v>35</v>
      </c>
      <c r="AN43" s="155">
        <f t="shared" si="30"/>
        <v>222.27660644531252</v>
      </c>
      <c r="AO43" s="161">
        <f t="shared" si="31"/>
        <v>0</v>
      </c>
      <c r="AP43" s="161">
        <f t="shared" si="32"/>
        <v>266.0125</v>
      </c>
      <c r="AQ43" s="161">
        <f t="shared" si="33"/>
        <v>0.22200000000000003</v>
      </c>
      <c r="AR43" s="161">
        <f t="shared" si="34"/>
        <v>0</v>
      </c>
      <c r="AS43" s="161">
        <f t="shared" si="35"/>
        <v>0</v>
      </c>
      <c r="AT43" s="161">
        <f t="shared" si="36"/>
        <v>0</v>
      </c>
      <c r="AU43" s="161">
        <f t="shared" si="37"/>
        <v>3.7566071428571433</v>
      </c>
      <c r="AV43" s="161">
        <f>AV$28*(Mtoe!AI50/Mtoe!AI$35)</f>
        <v>366.83150039424993</v>
      </c>
      <c r="AW43" s="161">
        <f>AW$28*(Mtoe!AJ50/Mtoe!AJ$35)</f>
        <v>139.03147049556316</v>
      </c>
      <c r="AX43" s="162">
        <f t="shared" si="38"/>
        <v>998.1306844779826</v>
      </c>
      <c r="AY43" s="145">
        <f ca="1" t="shared" si="39"/>
        <v>4.574030064939605</v>
      </c>
      <c r="AZ43" s="144" t="s">
        <v>94</v>
      </c>
      <c r="BA43" s="142"/>
      <c r="BB43" s="91"/>
    </row>
    <row r="44" spans="1:54" ht="15.75">
      <c r="A44" s="55" t="s">
        <v>36</v>
      </c>
      <c r="B44" s="49"/>
      <c r="C44" s="49"/>
      <c r="D44" s="49"/>
      <c r="E44" s="59"/>
      <c r="F44" s="56"/>
      <c r="G44" s="56"/>
      <c r="H44" s="56"/>
      <c r="I44" s="49"/>
      <c r="J44" s="180"/>
      <c r="K44" s="56"/>
      <c r="L44" s="55">
        <f ca="1">L45+L48+L55+SUM(L58:L60)</f>
        <v>10.981574977623591</v>
      </c>
      <c r="N44" s="49"/>
      <c r="O44" s="49"/>
      <c r="P44" s="49"/>
      <c r="Q44" s="59"/>
      <c r="R44" s="56"/>
      <c r="S44" s="56"/>
      <c r="T44" s="56"/>
      <c r="U44" s="49"/>
      <c r="V44" s="56"/>
      <c r="W44" s="56"/>
      <c r="X44" s="55">
        <f ca="1">X45+X48+X55+SUM(X58:X60)</f>
        <v>69.92405214761986</v>
      </c>
      <c r="Z44" s="56"/>
      <c r="AA44" s="56"/>
      <c r="AB44" s="56"/>
      <c r="AC44" s="59"/>
      <c r="AD44" s="56"/>
      <c r="AE44" s="56"/>
      <c r="AF44" s="56"/>
      <c r="AG44" s="56"/>
      <c r="AH44" s="56"/>
      <c r="AI44" s="56"/>
      <c r="AJ44" s="55">
        <f ca="1">AJ45+AJ48+AJ55+SUM(AJ58:AJ60)</f>
        <v>455.59941519420624</v>
      </c>
      <c r="AL44" s="26"/>
      <c r="AM44" s="147" t="s">
        <v>36</v>
      </c>
      <c r="AN44" s="710">
        <f aca="true" t="shared" si="40" ref="AN44:AQ44">SUM(AN45:AN48)+AN55+SUM(AN58:AN60)</f>
        <v>1.2375244140625</v>
      </c>
      <c r="AO44" s="160"/>
      <c r="AP44" s="710">
        <f ca="1">SUM(AP45:AP48)+AO48+AO55+AP55+SUM(AP58:AP60)</f>
        <v>505.3458747660841</v>
      </c>
      <c r="AQ44" s="160">
        <f ca="1" t="shared" si="40"/>
        <v>0.05349942428973996</v>
      </c>
      <c r="AR44" s="160">
        <f aca="true" t="shared" si="41" ref="AR44:AT44">SUM(AR45:AR47)+AR57+SUM(AR62:AR65)</f>
        <v>0</v>
      </c>
      <c r="AS44" s="160">
        <f t="shared" si="41"/>
        <v>0</v>
      </c>
      <c r="AT44" s="160">
        <f t="shared" si="41"/>
        <v>0</v>
      </c>
      <c r="AU44" s="160">
        <f ca="1">SUM(AU45:AU48)+AU55+SUM(AU58:AU60)</f>
        <v>29.868143715013325</v>
      </c>
      <c r="AV44" s="160">
        <f ca="1">SUM(AV45:AV48)+AV55+SUM(AV58:AV60)</f>
        <v>223.1379925467152</v>
      </c>
      <c r="AW44" s="160">
        <f>SUM(AW45:AW48)+AW55+SUM(AW58:AW60)</f>
        <v>0</v>
      </c>
      <c r="AX44" s="1253">
        <f ca="1">AX45+AX48+AX55+SUM(AX58:AX60)</f>
        <v>759.6430348661648</v>
      </c>
      <c r="AY44" s="146">
        <f ca="1">AY45+AY48+AY55+SUM(AY58:AY60)</f>
        <v>3.481137424321363</v>
      </c>
      <c r="AZ44" s="4" t="s">
        <v>94</v>
      </c>
      <c r="BA44" s="831"/>
      <c r="BB44" s="91"/>
    </row>
    <row r="45" spans="1:54" ht="12.75">
      <c r="A45" s="112" t="s">
        <v>98</v>
      </c>
      <c r="B45" s="49">
        <f>-($C$4/B$4)*Mtoe!AA52*(B103*(100-B160)/10)</f>
        <v>0</v>
      </c>
      <c r="C45" s="49">
        <f>($C$4/C$4)*Mtoe!AB52*(C103*(100-C160)/10)</f>
        <v>0</v>
      </c>
      <c r="D45" s="49">
        <f>($C$4/D$4)*Mtoe!AC52*(D103*(100-D160)/10)</f>
        <v>0</v>
      </c>
      <c r="E45" s="49">
        <f>($C$4/E$4)*Mtoe!AD52*(E103*(100-E160)/10)</f>
        <v>0</v>
      </c>
      <c r="F45" s="49"/>
      <c r="G45" s="49"/>
      <c r="H45" s="49"/>
      <c r="I45" s="49">
        <f>($C$4/I$4)*Mtoe!AH52*(I103*(100-I160)/10)</f>
        <v>0</v>
      </c>
      <c r="J45" s="180"/>
      <c r="K45" s="49"/>
      <c r="L45" s="59">
        <f>SUM(B45:K45)</f>
        <v>0</v>
      </c>
      <c r="N45" s="49">
        <f>($C$4/B$4)*Mtoe!B52*((130/32)*(N103*(100-N160)/10))</f>
        <v>0</v>
      </c>
      <c r="O45" s="49">
        <f>($C$4/C$4)*Mtoe!C52*((130/32)*(O103*(100-O160)/10))</f>
        <v>0</v>
      </c>
      <c r="P45" s="49">
        <f>($C$4/D$4)*Mtoe!AC52*((130/32)*(P103*(100-P160)/10))</f>
        <v>0</v>
      </c>
      <c r="Q45" s="49">
        <f>($C$4/E$4)*Mtoe!AD52*((130/32)*(Q103*(100-Q160)/10))</f>
        <v>0</v>
      </c>
      <c r="R45" s="49"/>
      <c r="S45" s="49"/>
      <c r="T45" s="49"/>
      <c r="U45" s="49">
        <f>($C$4/I$4)*Mtoe!AH52*((130/32)*(U103*(100-U160)/10))</f>
        <v>0</v>
      </c>
      <c r="V45" s="49"/>
      <c r="W45" s="49"/>
      <c r="X45" s="59">
        <f>SUM(N45:W45)</f>
        <v>0</v>
      </c>
      <c r="Z45" s="49">
        <f>Mtoe!B52*(Z103*(100-Z160)/100000)</f>
        <v>0</v>
      </c>
      <c r="AA45" s="49">
        <f>-Mtoe!AB52*(AA103*(100-AA160)/100000)</f>
        <v>0</v>
      </c>
      <c r="AB45" s="49">
        <f>Mtoe!AC52*(AB103*(100-AB160)/100000)</f>
        <v>0.08779999999999999</v>
      </c>
      <c r="AC45" s="49">
        <f>Mtoe!AD52*(AC103*(100-AC160)/100000)</f>
        <v>0</v>
      </c>
      <c r="AD45" s="49">
        <f>Mtoe!AE52*(AD103*(100-AD160)/100000)</f>
        <v>0</v>
      </c>
      <c r="AE45" s="49">
        <f>Mtoe!AF52*(AE103*(100-AE160)/100000)</f>
        <v>0</v>
      </c>
      <c r="AF45" s="49">
        <f>Mtoe!AG52*(AF103*(100-AF160)/100000)</f>
        <v>0</v>
      </c>
      <c r="AG45" s="49">
        <f>Mtoe!AH52*(AG103*(100-AG160)/100000)</f>
        <v>0</v>
      </c>
      <c r="AH45" s="49">
        <f>-Mtoe!AI52*(AH103*(100-AH160)/100000)</f>
        <v>0</v>
      </c>
      <c r="AI45" s="49"/>
      <c r="AJ45" s="59">
        <f>SUM(Z45:AI45)</f>
        <v>0.08779999999999999</v>
      </c>
      <c r="AL45" s="26"/>
      <c r="AM45" s="148" t="s">
        <v>37</v>
      </c>
      <c r="AN45" s="155">
        <f aca="true" t="shared" si="42" ref="AN45:AN46">B45+N45+Z45</f>
        <v>0</v>
      </c>
      <c r="AO45" s="154">
        <f aca="true" t="shared" si="43" ref="AO45:AO46">C45+O45+AA45</f>
        <v>0</v>
      </c>
      <c r="AP45" s="154">
        <f aca="true" t="shared" si="44" ref="AP45:AP46">D45+P45+AB45</f>
        <v>0.08779999999999999</v>
      </c>
      <c r="AQ45" s="154">
        <f aca="true" t="shared" si="45" ref="AQ45:AQ46">E45+Q45+AC45</f>
        <v>0</v>
      </c>
      <c r="AR45" s="154">
        <f aca="true" t="shared" si="46" ref="AR45:AR46">F45+R45+AD45</f>
        <v>0</v>
      </c>
      <c r="AS45" s="154">
        <f aca="true" t="shared" si="47" ref="AS45:AS46">G45+S45+AE45</f>
        <v>0</v>
      </c>
      <c r="AT45" s="154">
        <f aca="true" t="shared" si="48" ref="AT45:AT46">H45+T45+AF45</f>
        <v>0</v>
      </c>
      <c r="AU45" s="154">
        <f aca="true" t="shared" si="49" ref="AU45:AU46">I45+U45+AG45</f>
        <v>0</v>
      </c>
      <c r="AV45" s="154">
        <f>AV$28*(Mtoe!AI52/Mtoe!AI$35)</f>
        <v>0</v>
      </c>
      <c r="AW45" s="154">
        <f>AW$28*(Mtoe!AJ52/Mtoe!AJ$35)</f>
        <v>0</v>
      </c>
      <c r="AX45" s="157">
        <f>SUM(AN45:AW45)</f>
        <v>0.08779999999999999</v>
      </c>
      <c r="AY45" s="4">
        <f aca="true" t="shared" si="50" ref="AY45:AY60">100*AX45/AX$12</f>
        <v>0.0004023519624704575</v>
      </c>
      <c r="AZ45" s="4" t="s">
        <v>94</v>
      </c>
      <c r="BA45" s="142"/>
      <c r="BB45" s="91"/>
    </row>
    <row r="46" spans="1:54" ht="13.5" thickBot="1">
      <c r="A46" s="261" t="s">
        <v>283</v>
      </c>
      <c r="B46" s="49">
        <f>-($C$4/B$4)*Mtoe!AA53*(B104*(100-B161)/10)</f>
        <v>0</v>
      </c>
      <c r="C46" s="49">
        <f>($C$4/C$4)*Mtoe!AB53*(C104*(100-C161)/10)</f>
        <v>0</v>
      </c>
      <c r="D46" s="49">
        <f>($C$4/D$4)*Mtoe!AC53*(D104*(100-D161)/10)</f>
        <v>0</v>
      </c>
      <c r="E46" s="49">
        <f>($C$4/E$4)*Mtoe!AD53*(E104*(100-E161)/10)</f>
        <v>0</v>
      </c>
      <c r="F46" s="49"/>
      <c r="G46" s="49"/>
      <c r="H46" s="49"/>
      <c r="I46" s="49">
        <f>($C$4/I$4)*Mtoe!AH53*(I104*(100-I161)/10)</f>
        <v>0</v>
      </c>
      <c r="J46" s="180"/>
      <c r="K46" s="49"/>
      <c r="L46" s="59"/>
      <c r="N46" s="49"/>
      <c r="O46" s="49">
        <f>-($C$4/C$4)*Mtoe!AB53*((130/32)*(O104*(100-O161)/10))</f>
        <v>0</v>
      </c>
      <c r="P46" s="49">
        <f>($C$4/D$4)*Mtoe!AC53*((130/32)*(P104*(100-P161)/10))</f>
        <v>0</v>
      </c>
      <c r="Q46" s="49">
        <f>($C$4/E$4)*Mtoe!AD53*((130/32)*(Q104*(100-Q161)/10))</f>
        <v>0</v>
      </c>
      <c r="R46" s="49"/>
      <c r="S46" s="49"/>
      <c r="T46" s="49"/>
      <c r="U46" s="49">
        <f>($C$4/I$4)*Mtoe!AH53*((130/32)*(U104*(100-U161)/10))</f>
        <v>0</v>
      </c>
      <c r="V46" s="49"/>
      <c r="W46" s="49"/>
      <c r="X46" s="59"/>
      <c r="Z46" s="49"/>
      <c r="AA46" s="49">
        <f>-Mtoe!AB53*(AA104*(100-AA161)/100000)</f>
        <v>0</v>
      </c>
      <c r="AB46" s="49">
        <f>Mtoe!AC53*(AB104*(100-AB161)/100000)</f>
        <v>0</v>
      </c>
      <c r="AC46" s="49">
        <f>Mtoe!AD53*(AC104*(100-AC161)/100000)</f>
        <v>0</v>
      </c>
      <c r="AD46" s="49">
        <f>Mtoe!AE53*(AD104*(100-AD161)/100000)</f>
        <v>0</v>
      </c>
      <c r="AE46" s="49">
        <f>Mtoe!AF53*(AE104*(100-AE161)/100000)</f>
        <v>0</v>
      </c>
      <c r="AF46" s="49">
        <f>Mtoe!AG53*(AF104*(100-AF161)/100000)</f>
        <v>0</v>
      </c>
      <c r="AG46" s="49">
        <f>Mtoe!AH53*(AG104*(100-AG161)/100000)</f>
        <v>0</v>
      </c>
      <c r="AH46" s="49">
        <f>-Mtoe!AI53*(AH104*(100-AH161)/100000)</f>
        <v>0</v>
      </c>
      <c r="AI46" s="49"/>
      <c r="AJ46" s="59">
        <f>SUM(Z46:AI46)</f>
        <v>0</v>
      </c>
      <c r="AL46" s="26"/>
      <c r="AM46" s="149" t="s">
        <v>283</v>
      </c>
      <c r="AN46" s="155">
        <f t="shared" si="42"/>
        <v>0</v>
      </c>
      <c r="AO46" s="154">
        <f t="shared" si="43"/>
        <v>0</v>
      </c>
      <c r="AP46" s="154">
        <f t="shared" si="44"/>
        <v>0</v>
      </c>
      <c r="AQ46" s="154">
        <f t="shared" si="45"/>
        <v>0</v>
      </c>
      <c r="AR46" s="154">
        <f t="shared" si="46"/>
        <v>0</v>
      </c>
      <c r="AS46" s="154">
        <f t="shared" si="47"/>
        <v>0</v>
      </c>
      <c r="AT46" s="154">
        <f t="shared" si="48"/>
        <v>0</v>
      </c>
      <c r="AU46" s="154">
        <f t="shared" si="49"/>
        <v>0</v>
      </c>
      <c r="AV46" s="154">
        <f aca="true" t="shared" si="51" ref="AV46">J46+V46+AH46</f>
        <v>0</v>
      </c>
      <c r="AW46" s="154">
        <f>AW$28*(Mtoe!AJ53/Mtoe!AJ$35)</f>
        <v>0</v>
      </c>
      <c r="AX46" s="157">
        <f>SUM(AN46:AW46)</f>
        <v>0</v>
      </c>
      <c r="AY46" s="4">
        <f ca="1" t="shared" si="50"/>
        <v>0</v>
      </c>
      <c r="AZ46" s="4"/>
      <c r="BA46" s="142"/>
      <c r="BB46" s="91"/>
    </row>
    <row r="47" spans="1:54" ht="15.75" thickBot="1">
      <c r="A47" s="247"/>
      <c r="B47" s="49">
        <f>($C$4/B$4)*Mtoe!B55*(B105*(100-B162)/10)</f>
        <v>0</v>
      </c>
      <c r="C47" s="906" t="s">
        <v>258</v>
      </c>
      <c r="D47" s="907" t="s">
        <v>260</v>
      </c>
      <c r="E47" s="908" t="s">
        <v>120</v>
      </c>
      <c r="F47" s="1066" t="s">
        <v>365</v>
      </c>
      <c r="G47" s="909"/>
      <c r="H47" s="909"/>
      <c r="I47" s="910" t="s">
        <v>261</v>
      </c>
      <c r="J47" s="860" t="s">
        <v>257</v>
      </c>
      <c r="K47" s="854"/>
      <c r="L47" s="863">
        <f>SUM(B47:K47)</f>
        <v>0</v>
      </c>
      <c r="M47" s="890"/>
      <c r="N47" s="854">
        <f>($C$4/B$4)*Mtoe!B54*((130/32)*(N105*(100-N162)/10))</f>
        <v>0</v>
      </c>
      <c r="O47" s="906" t="s">
        <v>258</v>
      </c>
      <c r="P47" s="907" t="s">
        <v>260</v>
      </c>
      <c r="Q47" s="908" t="s">
        <v>120</v>
      </c>
      <c r="R47" s="1066" t="s">
        <v>365</v>
      </c>
      <c r="S47" s="909"/>
      <c r="T47" s="909"/>
      <c r="U47" s="910" t="s">
        <v>261</v>
      </c>
      <c r="V47" s="860"/>
      <c r="W47" s="854"/>
      <c r="X47" s="863">
        <f>SUM(N47:W47)</f>
        <v>0</v>
      </c>
      <c r="Y47" s="890"/>
      <c r="Z47" s="854">
        <f>Mtoe!B54*(Z105*(100-Z162)/100000)</f>
        <v>0</v>
      </c>
      <c r="AA47" s="906" t="s">
        <v>258</v>
      </c>
      <c r="AB47" s="907" t="s">
        <v>260</v>
      </c>
      <c r="AC47" s="908" t="s">
        <v>120</v>
      </c>
      <c r="AD47" s="1066" t="s">
        <v>365</v>
      </c>
      <c r="AE47" s="909"/>
      <c r="AF47" s="909"/>
      <c r="AG47" s="910" t="s">
        <v>261</v>
      </c>
      <c r="AH47" s="860" t="s">
        <v>257</v>
      </c>
      <c r="AI47" s="854"/>
      <c r="AJ47" s="863">
        <f>SUM(Z47:AI47)</f>
        <v>0</v>
      </c>
      <c r="AK47" s="890"/>
      <c r="AL47" s="890"/>
      <c r="AM47" s="896"/>
      <c r="AN47" s="980"/>
      <c r="AO47" s="912" t="s">
        <v>258</v>
      </c>
      <c r="AP47" s="913" t="s">
        <v>260</v>
      </c>
      <c r="AQ47" s="914" t="s">
        <v>120</v>
      </c>
      <c r="AR47" s="1070" t="s">
        <v>365</v>
      </c>
      <c r="AS47" s="915"/>
      <c r="AT47" s="915"/>
      <c r="AU47" s="916" t="s">
        <v>261</v>
      </c>
      <c r="AV47" s="887" t="s">
        <v>257</v>
      </c>
      <c r="AW47" s="154">
        <f>AW$28*(Mtoe!AJ54/Mtoe!AJ$35)</f>
        <v>0</v>
      </c>
      <c r="AX47" s="889">
        <f>SUM(AN47:AW47)</f>
        <v>0</v>
      </c>
      <c r="AY47" s="917">
        <f ca="1" t="shared" si="50"/>
        <v>0</v>
      </c>
      <c r="AZ47" s="917"/>
      <c r="BA47" s="931"/>
      <c r="BB47" s="932"/>
    </row>
    <row r="48" spans="1:54" ht="15">
      <c r="A48" s="247" t="s">
        <v>284</v>
      </c>
      <c r="B48" s="49">
        <f>($C$4/B$4)*Mtoe!B56*(B106*(100-B163)/10)</f>
        <v>0</v>
      </c>
      <c r="C48" s="919">
        <f ca="1">C49+C54</f>
        <v>6.290004296057361</v>
      </c>
      <c r="D48" s="920">
        <f ca="1">D49+D54</f>
        <v>0</v>
      </c>
      <c r="E48" s="921">
        <f ca="1">E49+E54</f>
        <v>0</v>
      </c>
      <c r="F48" s="968"/>
      <c r="G48" s="909"/>
      <c r="H48" s="909"/>
      <c r="I48" s="922">
        <f ca="1">I49+I54</f>
        <v>3.70715661906623</v>
      </c>
      <c r="J48" s="862"/>
      <c r="K48" s="854"/>
      <c r="L48" s="863">
        <f aca="true" t="shared" si="52" ref="L48:L60">SUM(B48:K48)</f>
        <v>9.997160915123592</v>
      </c>
      <c r="M48" s="890"/>
      <c r="N48" s="854">
        <f>($C$4/B$4)*Mtoe!B55*((130/32)*(N106*(100-N163)/10))</f>
        <v>0</v>
      </c>
      <c r="O48" s="919">
        <f ca="1">O49+O54</f>
        <v>6.290004296057361</v>
      </c>
      <c r="P48" s="920">
        <f ca="1">P49+P54</f>
        <v>0</v>
      </c>
      <c r="Q48" s="921">
        <f ca="1">Q49+Q54</f>
        <v>0</v>
      </c>
      <c r="R48" s="968"/>
      <c r="S48" s="909"/>
      <c r="T48" s="909"/>
      <c r="U48" s="922">
        <f>U49+U54</f>
        <v>0</v>
      </c>
      <c r="V48" s="862"/>
      <c r="W48" s="854"/>
      <c r="X48" s="863">
        <f aca="true" t="shared" si="53" ref="X48:X60">SUM(N48:W48)</f>
        <v>6.290004296057361</v>
      </c>
      <c r="Y48" s="890"/>
      <c r="Z48" s="854">
        <f>Mtoe!B55*(Z106*(100-Z163)/100000)</f>
        <v>0</v>
      </c>
      <c r="AA48" s="919">
        <f ca="1">AA49+AA54</f>
        <v>312.2621559357865</v>
      </c>
      <c r="AB48" s="920">
        <f ca="1">AB49+AB54</f>
        <v>85.80997273818286</v>
      </c>
      <c r="AC48" s="921">
        <f ca="1">AC49+AC54</f>
        <v>0.021749424289739958</v>
      </c>
      <c r="AD48" s="968"/>
      <c r="AE48" s="909">
        <f>Mtoe!G55*(AE106*(100-AE163)/100000)</f>
        <v>0</v>
      </c>
      <c r="AF48" s="909">
        <f>Mtoe!H55*(AF106*(100-AF163)/100000)</f>
        <v>0</v>
      </c>
      <c r="AG48" s="922">
        <f ca="1">AG49+AG54</f>
        <v>26.160987095947096</v>
      </c>
      <c r="AH48" s="862">
        <f ca="1">AH49+AH54</f>
        <v>0</v>
      </c>
      <c r="AI48" s="854"/>
      <c r="AJ48" s="863">
        <f aca="true" t="shared" si="54" ref="AJ48:AJ60">SUM(Z48:AI48)</f>
        <v>424.2548651942062</v>
      </c>
      <c r="AK48" s="890"/>
      <c r="AL48" s="890"/>
      <c r="AM48" s="896" t="s">
        <v>284</v>
      </c>
      <c r="AN48" s="980" t="s">
        <v>122</v>
      </c>
      <c r="AO48" s="923">
        <f aca="true" t="shared" si="55" ref="AO48:AQ48">AO49+AO54</f>
        <v>324.8421645279012</v>
      </c>
      <c r="AP48" s="924">
        <f ca="1" t="shared" si="55"/>
        <v>85.80997273818286</v>
      </c>
      <c r="AQ48" s="925">
        <f ca="1" t="shared" si="55"/>
        <v>0.021749424289739958</v>
      </c>
      <c r="AR48" s="971"/>
      <c r="AS48" s="915"/>
      <c r="AT48" s="915"/>
      <c r="AU48" s="926">
        <f aca="true" t="shared" si="56" ref="AU48:AV48">AU49+AU54</f>
        <v>29.868143715013325</v>
      </c>
      <c r="AV48" s="927">
        <f ca="1" t="shared" si="56"/>
        <v>0.9328827385235879</v>
      </c>
      <c r="AW48" s="154">
        <f>AW$28*(Mtoe!AJ55/Mtoe!AJ$35)</f>
        <v>0</v>
      </c>
      <c r="AX48" s="889">
        <f aca="true" t="shared" si="57" ref="AX48:AX60">SUM(AN48:AW48)</f>
        <v>441.4749131439107</v>
      </c>
      <c r="AY48" s="917">
        <f ca="1" t="shared" si="50"/>
        <v>2.023101340375026</v>
      </c>
      <c r="AZ48" s="917" t="s">
        <v>94</v>
      </c>
      <c r="BA48" s="931"/>
      <c r="BB48" s="932"/>
    </row>
    <row r="49" spans="1:54" ht="15">
      <c r="A49" s="209" t="s">
        <v>127</v>
      </c>
      <c r="B49" s="210">
        <f>($C$4/B$4)*Mtoe!B57*(B107*(100-B164)/10)</f>
        <v>0</v>
      </c>
      <c r="C49" s="1076">
        <f ca="1">SUM(C50:C53)</f>
        <v>3.256905091382758</v>
      </c>
      <c r="D49" s="1077">
        <f ca="1">SUM(D50:D53)</f>
        <v>0</v>
      </c>
      <c r="E49" s="1078">
        <f ca="1">SUM(E50:E53)</f>
        <v>0</v>
      </c>
      <c r="F49" s="969"/>
      <c r="G49" s="956"/>
      <c r="H49" s="956"/>
      <c r="I49" s="957">
        <f ca="1">SUM(I50:I53)</f>
        <v>2.9256063284255505</v>
      </c>
      <c r="J49" s="868"/>
      <c r="K49" s="865"/>
      <c r="L49" s="870">
        <f ca="1" t="shared" si="52"/>
        <v>6.182511419808309</v>
      </c>
      <c r="M49" s="1091"/>
      <c r="N49" s="865">
        <f>($C$4/B$4)*Mtoe!B56*((130/32)*(N107*(100-N164)/10))</f>
        <v>0</v>
      </c>
      <c r="O49" s="1076">
        <f ca="1">SUM(O50:O53)</f>
        <v>3.256905091382758</v>
      </c>
      <c r="P49" s="1077">
        <f ca="1">SUM(P50:P53)</f>
        <v>0</v>
      </c>
      <c r="Q49" s="1078">
        <f ca="1">SUM(Q50:Q53)</f>
        <v>0</v>
      </c>
      <c r="R49" s="969"/>
      <c r="S49" s="956"/>
      <c r="T49" s="956"/>
      <c r="U49" s="957">
        <f>SUM(U50:U53)</f>
        <v>0</v>
      </c>
      <c r="V49" s="868"/>
      <c r="W49" s="865"/>
      <c r="X49" s="870">
        <f ca="1" t="shared" si="53"/>
        <v>3.256905091382758</v>
      </c>
      <c r="Y49" s="1091"/>
      <c r="Z49" s="865">
        <f>Mtoe!B56*(Z107*(100-Z164)/100000)</f>
        <v>0</v>
      </c>
      <c r="AA49" s="1076">
        <f ca="1">SUM(AA50:AA53)</f>
        <v>130.2762036553103</v>
      </c>
      <c r="AB49" s="1077">
        <f ca="1">SUM(AB50:AB53)</f>
        <v>85.80997273818286</v>
      </c>
      <c r="AC49" s="1078">
        <f ca="1">SUM(AC50:AC53)</f>
        <v>0.021749424289739958</v>
      </c>
      <c r="AD49" s="969"/>
      <c r="AE49" s="956">
        <f>Mtoe!G56*(AE107*(100-AE164)/100000)</f>
        <v>0</v>
      </c>
      <c r="AF49" s="956">
        <f>Mtoe!H56*(AF107*(100-AF164)/100000)</f>
        <v>0</v>
      </c>
      <c r="AG49" s="957">
        <f ca="1">SUM(AG50:AG53)</f>
        <v>18.676921385297632</v>
      </c>
      <c r="AH49" s="868">
        <f ca="1">SUM(AH50:AH53)</f>
        <v>0</v>
      </c>
      <c r="AI49" s="865"/>
      <c r="AJ49" s="870">
        <f ca="1" t="shared" si="54"/>
        <v>234.78484720308052</v>
      </c>
      <c r="AK49" s="890"/>
      <c r="AL49" s="890"/>
      <c r="AM49" s="896" t="s">
        <v>127</v>
      </c>
      <c r="AN49" s="980" t="s">
        <v>122</v>
      </c>
      <c r="AO49" s="923">
        <f aca="true" t="shared" si="58" ref="AO49:AQ49">SUM(AO50:AO53)</f>
        <v>136.79001383807582</v>
      </c>
      <c r="AP49" s="924">
        <f ca="1" t="shared" si="58"/>
        <v>85.80997273818286</v>
      </c>
      <c r="AQ49" s="925">
        <f ca="1" t="shared" si="58"/>
        <v>0.021749424289739958</v>
      </c>
      <c r="AR49" s="972"/>
      <c r="AS49" s="915"/>
      <c r="AT49" s="915"/>
      <c r="AU49" s="926">
        <f aca="true" t="shared" si="59" ref="AU49:AV49">SUM(AU50:AU53)</f>
        <v>21.60252771372318</v>
      </c>
      <c r="AV49" s="927">
        <f ca="1" t="shared" si="59"/>
        <v>0.9328827385235879</v>
      </c>
      <c r="AW49" s="154">
        <f>AW$28*(Mtoe!AJ56/Mtoe!AJ$35)</f>
        <v>0</v>
      </c>
      <c r="AX49" s="889">
        <f ca="1" t="shared" si="57"/>
        <v>245.1571464527952</v>
      </c>
      <c r="AY49" s="917">
        <f ca="1" t="shared" si="50"/>
        <v>1.1234562527214067</v>
      </c>
      <c r="AZ49" s="917" t="s">
        <v>94</v>
      </c>
      <c r="BA49" s="931"/>
      <c r="BB49" s="932"/>
    </row>
    <row r="50" spans="1:54" ht="15">
      <c r="A50" s="213" t="s">
        <v>128</v>
      </c>
      <c r="B50" s="253">
        <f>($C$4/B$4)*Mtoe!B58*(B108*(100-B165)/10)</f>
        <v>0</v>
      </c>
      <c r="C50" s="1073">
        <f ca="1">($C$4/C$4)*Mtoe!AB57*(C108*(100-C165)/10)</f>
        <v>0.5282521272160756</v>
      </c>
      <c r="D50" s="1074">
        <f>($C$4/D$4)*Mtoe!AC57*(D108*(100-D165)/10)</f>
        <v>0</v>
      </c>
      <c r="E50" s="1075">
        <f ca="1">($C$4/E$4)*Mtoe!AD57*(E108*(100-E165)/10)</f>
        <v>0</v>
      </c>
      <c r="F50" s="1067">
        <f aca="true" t="shared" si="60" ref="F50:F53">F77*F94/1000000</f>
        <v>0</v>
      </c>
      <c r="G50" s="960"/>
      <c r="H50" s="960"/>
      <c r="I50" s="961">
        <f ca="1">($C$4/I$4)*Mtoe!AH57*(I108*(100-I165)/10)</f>
        <v>0.13611674913929273</v>
      </c>
      <c r="J50" s="875"/>
      <c r="K50" s="872"/>
      <c r="L50" s="877">
        <f ca="1" t="shared" si="52"/>
        <v>0.6643688763553683</v>
      </c>
      <c r="M50" s="1091"/>
      <c r="N50" s="872">
        <f>($C$4/B$4)*Mtoe!B57*((130/32)*(N108*(100-N165)/10))</f>
        <v>0</v>
      </c>
      <c r="O50" s="1073">
        <f ca="1">($C$4/C$4)*Mtoe!AB57*(O108*(100-O165)/10)</f>
        <v>0.5282521272160756</v>
      </c>
      <c r="P50" s="1074">
        <f>($C$4/D$4)*Mtoe!AC57*(P108*(100-P165)/10)</f>
        <v>0</v>
      </c>
      <c r="Q50" s="1075">
        <f ca="1">($C$4/E$4)*Mtoe!AD57*(Q108*(100-Q165)/10)</f>
        <v>0</v>
      </c>
      <c r="R50" s="1067"/>
      <c r="S50" s="960"/>
      <c r="T50" s="960"/>
      <c r="U50" s="961"/>
      <c r="V50" s="875"/>
      <c r="W50" s="872"/>
      <c r="X50" s="877">
        <f ca="1" t="shared" si="53"/>
        <v>0.5282521272160756</v>
      </c>
      <c r="Y50" s="1091"/>
      <c r="Z50" s="872">
        <f>Mtoe!B57*(Z108*(100-Z165)/100000)</f>
        <v>0</v>
      </c>
      <c r="AA50" s="1073">
        <f ca="1">Mtoe!AB57*(AA108*(100-AA165)/100000)</f>
        <v>21.130085088643025</v>
      </c>
      <c r="AB50" s="1074">
        <f>Mtoe!AC57*(AB108*(100-AB165)/100000)</f>
        <v>0</v>
      </c>
      <c r="AC50" s="1075">
        <f ca="1">Mtoe!AD57*(AC108*(100-AC165)/100000)</f>
        <v>0.021749424289739958</v>
      </c>
      <c r="AD50" s="1067">
        <f>Mtoe!AE57*(AD108*(100-AD165)/100000)</f>
        <v>0</v>
      </c>
      <c r="AE50" s="960">
        <f>Mtoe!AF57*(AE108*(100-AE165)/100000)</f>
        <v>0</v>
      </c>
      <c r="AF50" s="960">
        <f>Mtoe!AG57*(AF108*(100-AF165)/100000)</f>
        <v>0</v>
      </c>
      <c r="AG50" s="961">
        <f ca="1">Mtoe!AH57*(AG108*(100-AG165)/100000)</f>
        <v>0.8689623748062463</v>
      </c>
      <c r="AH50" s="875">
        <f ca="1">Mtoe!AI57*(AH108*(100-AH165)/100000)</f>
        <v>0</v>
      </c>
      <c r="AI50" s="872"/>
      <c r="AJ50" s="877">
        <f ca="1" t="shared" si="54"/>
        <v>22.02079688773901</v>
      </c>
      <c r="AK50" s="890"/>
      <c r="AL50" s="890"/>
      <c r="AM50" s="896" t="s">
        <v>128</v>
      </c>
      <c r="AN50" s="980" t="s">
        <v>122</v>
      </c>
      <c r="AO50" s="923">
        <f aca="true" t="shared" si="61" ref="AO50:AQ51">C50+O50+AA50</f>
        <v>22.186589343075177</v>
      </c>
      <c r="AP50" s="924">
        <f t="shared" si="61"/>
        <v>0</v>
      </c>
      <c r="AQ50" s="925">
        <f ca="1" t="shared" si="61"/>
        <v>0.021749424289739958</v>
      </c>
      <c r="AR50" s="972">
        <f aca="true" t="shared" si="62" ref="AR50:AR53">AR77*AR94/1000000</f>
        <v>0</v>
      </c>
      <c r="AS50" s="915"/>
      <c r="AT50" s="915"/>
      <c r="AU50" s="926">
        <f ca="1">I50+U50+AG50</f>
        <v>1.005079123945539</v>
      </c>
      <c r="AV50" s="895">
        <f ca="1">AV$28*(Mtoe!AI57/Mtoe!AI$35)</f>
        <v>0.648857930037981</v>
      </c>
      <c r="AW50" s="154">
        <f>AW$28*(Mtoe!AJ57/Mtoe!AJ$35)</f>
        <v>0</v>
      </c>
      <c r="AX50" s="889">
        <f ca="1" t="shared" si="57"/>
        <v>23.862275821348437</v>
      </c>
      <c r="AY50" s="917">
        <f ca="1" t="shared" si="50"/>
        <v>0.10935117888076186</v>
      </c>
      <c r="AZ50" s="917" t="s">
        <v>94</v>
      </c>
      <c r="BA50" s="931"/>
      <c r="BB50" s="932"/>
    </row>
    <row r="51" spans="1:54" ht="15">
      <c r="A51" s="276" t="s">
        <v>285</v>
      </c>
      <c r="B51" s="253"/>
      <c r="C51" s="1073">
        <f ca="1">($C$4/C$4)*Mtoe!AB58*(C109*(100-C166)/10)</f>
        <v>2.7286529641666823</v>
      </c>
      <c r="D51" s="1074">
        <f ca="1">($C$4/D$4)*Mtoe!AC58*(D109*(100-D166)/10)</f>
        <v>0</v>
      </c>
      <c r="E51" s="1075">
        <f>($C$4/E$4)*Mtoe!AD58*(E109*(100-E166)/10)</f>
        <v>0</v>
      </c>
      <c r="F51" s="1067">
        <f t="shared" si="60"/>
        <v>0</v>
      </c>
      <c r="G51" s="960"/>
      <c r="H51" s="960"/>
      <c r="I51" s="961">
        <f ca="1">($C$4/I$4)*Mtoe!AH58*(I109*(100-I166)/10)</f>
        <v>2.7894895792862577</v>
      </c>
      <c r="J51" s="875"/>
      <c r="K51" s="872"/>
      <c r="L51" s="877">
        <f ca="1" t="shared" si="52"/>
        <v>5.5181425434529405</v>
      </c>
      <c r="M51" s="1091"/>
      <c r="N51" s="872">
        <f>($C$4/B$4)*Mtoe!B58*((130/32)*(N109*(100-N166)/10))</f>
        <v>0</v>
      </c>
      <c r="O51" s="1073">
        <f ca="1">($C$4/C$4)*Mtoe!AB58*(O109*(100-O166)/10)</f>
        <v>2.7286529641666823</v>
      </c>
      <c r="P51" s="1074">
        <f ca="1">($C$4/D$4)*Mtoe!AC58*(P109*(100-P166)/10)</f>
        <v>0</v>
      </c>
      <c r="Q51" s="1075">
        <f>($C$4/E$4)*Mtoe!AD58*(Q109*(100-Q166)/10)</f>
        <v>0</v>
      </c>
      <c r="R51" s="1067"/>
      <c r="S51" s="960"/>
      <c r="T51" s="960"/>
      <c r="U51" s="961"/>
      <c r="V51" s="875"/>
      <c r="W51" s="872"/>
      <c r="X51" s="877">
        <f ca="1" t="shared" si="53"/>
        <v>2.7286529641666823</v>
      </c>
      <c r="Y51" s="1091"/>
      <c r="Z51" s="872">
        <f>Mtoe!B58*(Z109*(100-Z166)/100000)</f>
        <v>0</v>
      </c>
      <c r="AA51" s="1073">
        <f ca="1">Mtoe!AB58*(AA109*(100-AA166)/100000)</f>
        <v>109.14611856666728</v>
      </c>
      <c r="AB51" s="1074">
        <f ca="1">Mtoe!AC58*(AB109*(100-AB166)/100000)</f>
        <v>85.80997273818286</v>
      </c>
      <c r="AC51" s="1075">
        <f>Mtoe!AD58*(AC109*(100-AC166)/100000)</f>
        <v>0</v>
      </c>
      <c r="AD51" s="1067">
        <f>Mtoe!AE58*(AD109*(100-AD166)/100000)</f>
        <v>0</v>
      </c>
      <c r="AE51" s="960">
        <f>Mtoe!AF58*(AE109*(100-AE166)/100000)</f>
        <v>0</v>
      </c>
      <c r="AF51" s="960">
        <f>Mtoe!AG58*(AF109*(100-AF166)/100000)</f>
        <v>0</v>
      </c>
      <c r="AG51" s="961">
        <f ca="1">Mtoe!AH58*(AG109*(100-AG166)/100000)</f>
        <v>17.807959010491384</v>
      </c>
      <c r="AH51" s="875">
        <f ca="1">Mtoe!AI58*(AH109*(100-AH166)/100000)</f>
        <v>0</v>
      </c>
      <c r="AI51" s="872"/>
      <c r="AJ51" s="877">
        <f ca="1" t="shared" si="54"/>
        <v>212.7640503153415</v>
      </c>
      <c r="AK51" s="890"/>
      <c r="AL51" s="890"/>
      <c r="AM51" s="896" t="s">
        <v>285</v>
      </c>
      <c r="AN51" s="980" t="s">
        <v>122</v>
      </c>
      <c r="AO51" s="923">
        <f ca="1" t="shared" si="61"/>
        <v>114.60342449500065</v>
      </c>
      <c r="AP51" s="924">
        <f ca="1" t="shared" si="61"/>
        <v>85.80997273818286</v>
      </c>
      <c r="AQ51" s="925">
        <f t="shared" si="61"/>
        <v>0</v>
      </c>
      <c r="AR51" s="972">
        <f t="shared" si="62"/>
        <v>0</v>
      </c>
      <c r="AS51" s="915"/>
      <c r="AT51" s="915"/>
      <c r="AU51" s="926">
        <f ca="1">I51+U51+AG51</f>
        <v>20.597448589777642</v>
      </c>
      <c r="AV51" s="895">
        <f ca="1">AV$28*(Mtoe!AI58/Mtoe!AI$35)</f>
        <v>0.28402480848560696</v>
      </c>
      <c r="AW51" s="154">
        <f>AW$28*(Mtoe!AJ58/Mtoe!AJ$35)</f>
        <v>0</v>
      </c>
      <c r="AX51" s="889">
        <f ca="1" t="shared" si="57"/>
        <v>221.29487063144674</v>
      </c>
      <c r="AY51" s="917">
        <f ca="1" t="shared" si="50"/>
        <v>1.0141050738406447</v>
      </c>
      <c r="AZ51" s="917" t="s">
        <v>94</v>
      </c>
      <c r="BA51" s="931"/>
      <c r="BB51" s="932"/>
    </row>
    <row r="52" spans="1:54" ht="15">
      <c r="A52" s="216" t="s">
        <v>134</v>
      </c>
      <c r="B52" s="253"/>
      <c r="C52" s="1073">
        <f>($C$4/C$4)*Mtoe!C59*(C110*(100-C167)/10)</f>
        <v>0</v>
      </c>
      <c r="D52" s="1074">
        <f>($C$4/D$4)*Mtoe!D59*(D110*(100-D167)/10)</f>
        <v>0</v>
      </c>
      <c r="E52" s="1075"/>
      <c r="F52" s="1067">
        <f t="shared" si="60"/>
        <v>0</v>
      </c>
      <c r="G52" s="960"/>
      <c r="H52" s="960"/>
      <c r="I52" s="961">
        <f>($C$4/I$4)*Mtoe!AH59*(I110*(100-I167)/10)</f>
        <v>0</v>
      </c>
      <c r="J52" s="875"/>
      <c r="K52" s="872"/>
      <c r="L52" s="877">
        <f t="shared" si="52"/>
        <v>0</v>
      </c>
      <c r="M52" s="1091"/>
      <c r="N52" s="872">
        <f>($C$4/B$4)*Mtoe!B59*((130/32)*(N110*(100-N167)/10))</f>
        <v>0</v>
      </c>
      <c r="O52" s="1073">
        <f>($C$4/C$4)*Mtoe!AB59*(O110*(100-O167)/10)</f>
        <v>0</v>
      </c>
      <c r="P52" s="1074">
        <f>($C$4/D$4)*Mtoe!AC59*(P110*(100-P167)/10)</f>
        <v>0</v>
      </c>
      <c r="Q52" s="1075">
        <f>($C$4/E$4)*Mtoe!AD59*(Q110*(100-Q167)/10)</f>
        <v>0</v>
      </c>
      <c r="R52" s="1067"/>
      <c r="S52" s="960"/>
      <c r="T52" s="960"/>
      <c r="U52" s="961"/>
      <c r="V52" s="875"/>
      <c r="W52" s="872"/>
      <c r="X52" s="877">
        <f t="shared" si="53"/>
        <v>0</v>
      </c>
      <c r="Y52" s="1091"/>
      <c r="Z52" s="872">
        <f>Mtoe!B59*(Z110*(100-Z167)/100000)</f>
        <v>0</v>
      </c>
      <c r="AA52" s="1073">
        <f>Mtoe!AB59*(AA110*(100-AA167)/100000)</f>
        <v>0</v>
      </c>
      <c r="AB52" s="1074">
        <f>Mtoe!AC59*(AB110*(100-AB167)/100000)</f>
        <v>0</v>
      </c>
      <c r="AC52" s="1075">
        <f>Mtoe!AD59*(AC110*(100-AC167)/100000)</f>
        <v>0</v>
      </c>
      <c r="AD52" s="1067">
        <f>Mtoe!AE59*(AD110*(100-AD167)/100000)</f>
        <v>0</v>
      </c>
      <c r="AE52" s="960">
        <f>Mtoe!AF59*(AE110*(100-AE167)/100000)</f>
        <v>0</v>
      </c>
      <c r="AF52" s="960">
        <f>Mtoe!AG59*(AF110*(100-AF167)/100000)</f>
        <v>0</v>
      </c>
      <c r="AG52" s="961">
        <f>Mtoe!AH59*(AG110*(100-AG167)/100000)</f>
        <v>0</v>
      </c>
      <c r="AH52" s="875">
        <f>Mtoe!AI59*(AH110*(100-AH167)/100000)</f>
        <v>0</v>
      </c>
      <c r="AI52" s="872"/>
      <c r="AJ52" s="877">
        <f t="shared" si="54"/>
        <v>0</v>
      </c>
      <c r="AK52" s="890"/>
      <c r="AL52" s="890"/>
      <c r="AM52" s="896" t="s">
        <v>134</v>
      </c>
      <c r="AN52" s="980" t="s">
        <v>122</v>
      </c>
      <c r="AO52" s="923"/>
      <c r="AP52" s="924"/>
      <c r="AQ52" s="925"/>
      <c r="AR52" s="972">
        <f t="shared" si="62"/>
        <v>0</v>
      </c>
      <c r="AS52" s="915"/>
      <c r="AT52" s="915"/>
      <c r="AU52" s="926"/>
      <c r="AV52" s="927"/>
      <c r="AW52" s="154">
        <f>AW$28*(Mtoe!AJ59/Mtoe!AJ$35)</f>
        <v>0</v>
      </c>
      <c r="AX52" s="889">
        <f t="shared" si="57"/>
        <v>0</v>
      </c>
      <c r="AY52" s="917">
        <f ca="1" t="shared" si="50"/>
        <v>0</v>
      </c>
      <c r="AZ52" s="917"/>
      <c r="BA52" s="931"/>
      <c r="BB52" s="932"/>
    </row>
    <row r="53" spans="1:54" ht="15">
      <c r="A53" s="213" t="s">
        <v>131</v>
      </c>
      <c r="B53" s="253"/>
      <c r="C53" s="1073">
        <f>($C$4/C$4)*Mtoe!C60*(C111*(100-C168)/10)</f>
        <v>0</v>
      </c>
      <c r="D53" s="1074">
        <f>($C$4/D$4)*Mtoe!D60*(D111*(100-D168)/10)</f>
        <v>0</v>
      </c>
      <c r="E53" s="1075"/>
      <c r="F53" s="1067">
        <f t="shared" si="60"/>
        <v>0</v>
      </c>
      <c r="G53" s="960"/>
      <c r="H53" s="960"/>
      <c r="I53" s="961">
        <f>($C$4/I$4)*Mtoe!AH60*(I111*(100-I168)/10)</f>
        <v>0</v>
      </c>
      <c r="J53" s="875"/>
      <c r="K53" s="872"/>
      <c r="L53" s="877">
        <f t="shared" si="52"/>
        <v>0</v>
      </c>
      <c r="M53" s="1091"/>
      <c r="N53" s="872">
        <f>($C$4/B$4)*Mtoe!B60*((130/32)*(N111*(100-N168)/10))</f>
        <v>0</v>
      </c>
      <c r="O53" s="1073">
        <f>($C$4/C$4)*Mtoe!AB60*(O111*(100-O168)/10)</f>
        <v>0</v>
      </c>
      <c r="P53" s="1074">
        <f>($C$4/D$4)*Mtoe!AC60*(P111*(100-P168)/10)</f>
        <v>0</v>
      </c>
      <c r="Q53" s="1075">
        <f>($C$4/E$4)*Mtoe!AD60*(Q111*(100-Q168)/10)</f>
        <v>0</v>
      </c>
      <c r="R53" s="1067"/>
      <c r="S53" s="960"/>
      <c r="T53" s="960"/>
      <c r="U53" s="961"/>
      <c r="V53" s="875"/>
      <c r="W53" s="872"/>
      <c r="X53" s="877">
        <f t="shared" si="53"/>
        <v>0</v>
      </c>
      <c r="Y53" s="1091"/>
      <c r="Z53" s="872">
        <f>Mtoe!B60*(Z111*(100-Z168)/100000)</f>
        <v>0</v>
      </c>
      <c r="AA53" s="1073">
        <f>Mtoe!AB60*(AA111*(100-AA168)/100000)</f>
        <v>0</v>
      </c>
      <c r="AB53" s="1074">
        <f>Mtoe!AC60*(AB111*(100-AB168)/100000)</f>
        <v>0</v>
      </c>
      <c r="AC53" s="1075">
        <f>Mtoe!AD60*(AC111*(100-AC168)/100000)</f>
        <v>0</v>
      </c>
      <c r="AD53" s="1067">
        <f>Mtoe!AE60*(AD111*(100-AD168)/100000)</f>
        <v>0</v>
      </c>
      <c r="AE53" s="960">
        <f>Mtoe!AF60*(AE111*(100-AE168)/100000)</f>
        <v>0</v>
      </c>
      <c r="AF53" s="960">
        <f>Mtoe!AG60*(AF111*(100-AF168)/100000)</f>
        <v>0</v>
      </c>
      <c r="AG53" s="961">
        <f>Mtoe!AH60*(AG111*(100-AG168)/100000)</f>
        <v>0</v>
      </c>
      <c r="AH53" s="875">
        <f>Mtoe!AI60*(AH111*(100-AH168)/100000)</f>
        <v>0</v>
      </c>
      <c r="AI53" s="872"/>
      <c r="AJ53" s="877">
        <f t="shared" si="54"/>
        <v>0</v>
      </c>
      <c r="AK53" s="890"/>
      <c r="AL53" s="890"/>
      <c r="AM53" s="896" t="s">
        <v>131</v>
      </c>
      <c r="AN53" s="980" t="s">
        <v>122</v>
      </c>
      <c r="AO53" s="923"/>
      <c r="AP53" s="924"/>
      <c r="AQ53" s="925"/>
      <c r="AR53" s="972">
        <f t="shared" si="62"/>
        <v>0</v>
      </c>
      <c r="AS53" s="915"/>
      <c r="AT53" s="915"/>
      <c r="AU53" s="926"/>
      <c r="AV53" s="927"/>
      <c r="AW53" s="154">
        <f>AW$28*(Mtoe!AJ60/Mtoe!AJ$35)</f>
        <v>0</v>
      </c>
      <c r="AX53" s="889">
        <f t="shared" si="57"/>
        <v>0</v>
      </c>
      <c r="AY53" s="917">
        <f ca="1" t="shared" si="50"/>
        <v>0</v>
      </c>
      <c r="AZ53" s="917"/>
      <c r="BA53" s="931"/>
      <c r="BB53" s="932"/>
    </row>
    <row r="54" spans="1:54" ht="15">
      <c r="A54" s="209" t="s">
        <v>132</v>
      </c>
      <c r="B54" s="210">
        <f>($C$4/B$4)*Mtoe!AA61*(B112*(100-B169)/10)</f>
        <v>0</v>
      </c>
      <c r="C54" s="1076">
        <f ca="1">($C$4/C$4)*Mtoe!AB61*(C112*(100-C169)/10)</f>
        <v>3.0330992046746035</v>
      </c>
      <c r="D54" s="1077">
        <f>($C$4/D$4)*Mtoe!AC61*(D112*(100-D169)/10)</f>
        <v>0</v>
      </c>
      <c r="E54" s="1078">
        <f>($C$4/E$4)*Mtoe!AD61*(E112*(100-E169)/10)</f>
        <v>0</v>
      </c>
      <c r="F54" s="969">
        <f>F81*F98/1000000</f>
        <v>0</v>
      </c>
      <c r="G54" s="956"/>
      <c r="H54" s="956"/>
      <c r="I54" s="957">
        <f ca="1">($C$4/I$4)*Mtoe!AH61*(I112*(100-I169)/10)</f>
        <v>0.7815502906406798</v>
      </c>
      <c r="J54" s="868"/>
      <c r="K54" s="865"/>
      <c r="L54" s="870">
        <f ca="1" t="shared" si="52"/>
        <v>3.814649495315283</v>
      </c>
      <c r="M54" s="1091"/>
      <c r="N54" s="865">
        <f>-($C$4/B$4)*Mtoe!AA61*((130/32)*(N112*(100-N169)/10))</f>
        <v>0</v>
      </c>
      <c r="O54" s="1076">
        <f ca="1">($C$4/C$4)*Mtoe!AB61*(O112*(100-O169)/10)</f>
        <v>3.0330992046746035</v>
      </c>
      <c r="P54" s="1077">
        <f>($C$4/D$4)*Mtoe!AC61*(P112*(100-P169)/10)</f>
        <v>0</v>
      </c>
      <c r="Q54" s="1078">
        <f>($C$4/E$4)*Mtoe!AD61*(Q112*(100-Q169)/10)</f>
        <v>0</v>
      </c>
      <c r="R54" s="969"/>
      <c r="S54" s="956"/>
      <c r="T54" s="956"/>
      <c r="U54" s="957"/>
      <c r="V54" s="868"/>
      <c r="W54" s="865"/>
      <c r="X54" s="870">
        <f ca="1" t="shared" si="53"/>
        <v>3.0330992046746035</v>
      </c>
      <c r="Y54" s="1091"/>
      <c r="Z54" s="865">
        <f>-Mtoe!AA61*(Z112*(100-Z169)/100000)</f>
        <v>0</v>
      </c>
      <c r="AA54" s="1076">
        <f ca="1">Mtoe!AB61*(AA112*(100-AA169)/100000)</f>
        <v>181.9859522804762</v>
      </c>
      <c r="AB54" s="1077">
        <f>Mtoe!AC61*(AB112*(100-AB169)/100000)</f>
        <v>0</v>
      </c>
      <c r="AC54" s="1078">
        <f>Mtoe!AD61*(AC112*(100-AC169)/100000)</f>
        <v>0</v>
      </c>
      <c r="AD54" s="969">
        <f>Mtoe!AE61*(AD112*(100-AD169)/100000)</f>
        <v>0</v>
      </c>
      <c r="AE54" s="956">
        <f>Mtoe!AF61*(AE112*(100-AE169)/100000)</f>
        <v>0</v>
      </c>
      <c r="AF54" s="956">
        <f>Mtoe!AG61*(AF112*(100-AF169)/100000)</f>
        <v>0</v>
      </c>
      <c r="AG54" s="957">
        <f ca="1">Mtoe!AH61*(AG112*(100-AG169)/100000)</f>
        <v>7.484065710649464</v>
      </c>
      <c r="AH54" s="868">
        <f>Mtoe!AI61*(AH112*(100-AH169)/100000)</f>
        <v>0</v>
      </c>
      <c r="AI54" s="865"/>
      <c r="AJ54" s="870">
        <f ca="1" t="shared" si="54"/>
        <v>189.47001799112567</v>
      </c>
      <c r="AK54" s="890"/>
      <c r="AL54" s="890"/>
      <c r="AM54" s="896" t="s">
        <v>132</v>
      </c>
      <c r="AN54" s="980" t="s">
        <v>122</v>
      </c>
      <c r="AO54" s="923">
        <f aca="true" t="shared" si="63" ref="AO54:AU60">C54+O54+AA54</f>
        <v>188.0521506898254</v>
      </c>
      <c r="AP54" s="924">
        <f t="shared" si="63"/>
        <v>0</v>
      </c>
      <c r="AQ54" s="925">
        <f t="shared" si="63"/>
        <v>0</v>
      </c>
      <c r="AR54" s="972">
        <f>AR81*AR98/1000000</f>
        <v>0</v>
      </c>
      <c r="AS54" s="915">
        <f t="shared" si="63"/>
        <v>0</v>
      </c>
      <c r="AT54" s="915">
        <f t="shared" si="63"/>
        <v>0</v>
      </c>
      <c r="AU54" s="926">
        <f ca="1" t="shared" si="63"/>
        <v>8.265616001290145</v>
      </c>
      <c r="AV54" s="624">
        <f>AV$28*(Mtoe!AI61/Mtoe!AI$35)</f>
        <v>0</v>
      </c>
      <c r="AW54" s="154">
        <f>AW$28*(Mtoe!AJ61/Mtoe!AJ$35)</f>
        <v>0</v>
      </c>
      <c r="AX54" s="889">
        <f ca="1" t="shared" si="57"/>
        <v>196.31776669111554</v>
      </c>
      <c r="AY54" s="917">
        <f ca="1" t="shared" si="50"/>
        <v>0.8996450876536191</v>
      </c>
      <c r="AZ54" s="917" t="s">
        <v>94</v>
      </c>
      <c r="BA54" s="931"/>
      <c r="BB54" s="932"/>
    </row>
    <row r="55" spans="1:54" ht="15">
      <c r="A55" s="48" t="s">
        <v>39</v>
      </c>
      <c r="B55" s="49">
        <f>($C$4/B$4)*Mtoe!AA62*(B113*(100-B170)/10)</f>
        <v>0.4619140625</v>
      </c>
      <c r="C55" s="651">
        <f>($C$4/C$4)*Mtoe!AB62*(C113*(100-C170)/10)</f>
        <v>0.13899999999999998</v>
      </c>
      <c r="D55" s="652">
        <f>($C$4/D$4)*Mtoe!AC62*(D113*(100-D170)/10)</f>
        <v>0</v>
      </c>
      <c r="E55" s="653">
        <f>($C$4/E$4)*Mtoe!AD62*(E113*(100-E170)/10)</f>
        <v>0</v>
      </c>
      <c r="F55" s="1068"/>
      <c r="G55" s="650"/>
      <c r="H55" s="650"/>
      <c r="I55" s="627">
        <f>($C$4/I$4)*Mtoe!AH62*(I113*(100-I170)/10)</f>
        <v>0</v>
      </c>
      <c r="J55" s="618"/>
      <c r="K55" s="49"/>
      <c r="L55" s="55">
        <f t="shared" si="52"/>
        <v>0.6009140625</v>
      </c>
      <c r="M55" s="1092"/>
      <c r="N55" s="49">
        <f>($C$4/B$4)*Mtoe!AA62*((130/32)*(N113*(100-N170)/10))</f>
        <v>0.7506103515625001</v>
      </c>
      <c r="O55" s="651">
        <f>($C$4/C$4)*Mtoe!AB62*((130/32)*(O113*(100-O170)/10))</f>
        <v>0.5646875</v>
      </c>
      <c r="P55" s="652">
        <f>($C$4/D$4)*Mtoe!AC62*((130/32)*(P113*(100-P170)/10))</f>
        <v>0</v>
      </c>
      <c r="Q55" s="653">
        <f>($C$4/E$4)*Mtoe!AD62*((130/32)*(Q113*(100-Q170)/10))</f>
        <v>0</v>
      </c>
      <c r="R55" s="1068"/>
      <c r="S55" s="650"/>
      <c r="T55" s="650"/>
      <c r="U55" s="627">
        <f>($C$4/I$4)*Mtoe!AH62*((130/32)*(U113*(100-U170)/10))</f>
        <v>0</v>
      </c>
      <c r="V55" s="618"/>
      <c r="W55" s="49"/>
      <c r="X55" s="55">
        <f t="shared" si="53"/>
        <v>1.3152978515625002</v>
      </c>
      <c r="Y55" s="1092"/>
      <c r="Z55" s="49">
        <f>Mtoe!AA62*(Z113*(100-Z170)/100000)</f>
        <v>0.025</v>
      </c>
      <c r="AA55" s="651">
        <f>Mtoe!AB62*(AA113*(100-AA170)/100000)</f>
        <v>8.34</v>
      </c>
      <c r="AB55" s="652">
        <f>Mtoe!AC62*(AB113*(100-AB170)/100000)</f>
        <v>0</v>
      </c>
      <c r="AC55" s="653">
        <f>Mtoe!AD62*(AC113*(100-AC170)/100000)</f>
        <v>0</v>
      </c>
      <c r="AD55" s="1068"/>
      <c r="AE55" s="650">
        <f>Mtoe!AF62*(AE113*(100-AE170)/100000)</f>
        <v>0</v>
      </c>
      <c r="AF55" s="650">
        <f>Mtoe!AG62*(AF113*(100-AF170)/100000)</f>
        <v>0</v>
      </c>
      <c r="AG55" s="627">
        <f>Mtoe!AH62*(AG113*(100-AG170)/100000)</f>
        <v>0</v>
      </c>
      <c r="AH55" s="618">
        <f>-Mtoe!AI62*(AH113*(100-AH170)/100000)</f>
        <v>0</v>
      </c>
      <c r="AI55" s="49"/>
      <c r="AJ55" s="55">
        <f t="shared" si="54"/>
        <v>8.365</v>
      </c>
      <c r="AL55" s="26"/>
      <c r="AM55" s="148" t="s">
        <v>39</v>
      </c>
      <c r="AN55" s="981">
        <f aca="true" t="shared" si="64" ref="AN55:AN60">B55+N55+Z55</f>
        <v>1.2375244140625</v>
      </c>
      <c r="AO55" s="655">
        <f t="shared" si="63"/>
        <v>9.0436875</v>
      </c>
      <c r="AP55" s="656">
        <f t="shared" si="63"/>
        <v>0</v>
      </c>
      <c r="AQ55" s="657">
        <f t="shared" si="63"/>
        <v>0</v>
      </c>
      <c r="AR55" s="1071"/>
      <c r="AS55" s="654">
        <f t="shared" si="63"/>
        <v>0</v>
      </c>
      <c r="AT55" s="654">
        <f t="shared" si="63"/>
        <v>0</v>
      </c>
      <c r="AU55" s="658">
        <f t="shared" si="63"/>
        <v>0</v>
      </c>
      <c r="AV55" s="895">
        <f>AV$28*(Mtoe!AI62/Mtoe!AI$35)</f>
        <v>162.5291719450122</v>
      </c>
      <c r="AW55" s="154">
        <f>AW$28*(Mtoe!AJ62/Mtoe!AJ$35)</f>
        <v>0</v>
      </c>
      <c r="AX55" s="157">
        <f t="shared" si="57"/>
        <v>172.8103838590747</v>
      </c>
      <c r="AY55" s="4">
        <f ca="1" t="shared" si="50"/>
        <v>0.7919202401021844</v>
      </c>
      <c r="AZ55" s="4" t="s">
        <v>94</v>
      </c>
      <c r="BA55" s="142"/>
      <c r="BB55" s="91"/>
    </row>
    <row r="56" spans="1:54" ht="15">
      <c r="A56" s="209" t="s">
        <v>127</v>
      </c>
      <c r="B56" s="210">
        <f>($C$4/B$4)*Mtoe!AA63*(B114*(100-B171)/10)</f>
        <v>0</v>
      </c>
      <c r="C56" s="1079">
        <f ca="1">($C$4/C$4)*Mtoe!AB63*(C114*(100-C171)/10)</f>
        <v>0.0727719209168865</v>
      </c>
      <c r="D56" s="1080">
        <f>($C$4/D$4)*Mtoe!AC63*(D114*(100-D171)/10)</f>
        <v>0</v>
      </c>
      <c r="E56" s="1081">
        <f>($C$4/E$4)*Mtoe!AD63*(E114*(100-E171)/10)</f>
        <v>0</v>
      </c>
      <c r="F56" s="969">
        <f aca="true" t="shared" si="65" ref="F56:F57">F83*F100/1000000</f>
        <v>0</v>
      </c>
      <c r="G56" s="1082"/>
      <c r="H56" s="1082"/>
      <c r="I56" s="1083">
        <f>($C$4/I$4)*Mtoe!AH63*(I114*(100-I171)/10)</f>
        <v>0</v>
      </c>
      <c r="J56" s="1084"/>
      <c r="K56" s="1085"/>
      <c r="L56" s="222">
        <f ca="1" t="shared" si="52"/>
        <v>0.0727719209168865</v>
      </c>
      <c r="M56" s="1093"/>
      <c r="N56" s="1085">
        <f>($C$4/B$4)*Mtoe!AA63*((130/32)*(N114*(100-N171)/10))</f>
        <v>0</v>
      </c>
      <c r="O56" s="1079">
        <f ca="1">($C$4/C$4)*Mtoe!AO63*(O114*(100-O171)/10)</f>
        <v>0.22755561354947657</v>
      </c>
      <c r="P56" s="1080">
        <f>($C$4/D$4)*Mtoe!AC63*((130/32)*(P114*(100-P171)/10))</f>
        <v>0</v>
      </c>
      <c r="Q56" s="1081">
        <f>($C$4/E$4)*Mtoe!AD63*((130/32)*(Q114*(100-Q171)/10))</f>
        <v>0</v>
      </c>
      <c r="R56" s="969">
        <f aca="true" t="shared" si="66" ref="R56:R57">R83*R100/1000000</f>
        <v>0</v>
      </c>
      <c r="S56" s="1082"/>
      <c r="T56" s="1082"/>
      <c r="U56" s="1083">
        <f>($C$4/I$4)*Mtoe!AH63*((130/32)*(U114*(100-U171)/10))</f>
        <v>0</v>
      </c>
      <c r="V56" s="1084"/>
      <c r="W56" s="1085"/>
      <c r="X56" s="222">
        <f ca="1" t="shared" si="53"/>
        <v>0.22755561354947657</v>
      </c>
      <c r="Y56" s="1093"/>
      <c r="Z56" s="1085">
        <f>Mtoe!AA63*(Z114*(100-Z171)/100000)</f>
        <v>0</v>
      </c>
      <c r="AA56" s="1079">
        <f ca="1">Mtoe!AB63*(AA114*(100-AA171)/100000)</f>
        <v>4.36631525501319</v>
      </c>
      <c r="AB56" s="1080">
        <f>Mtoe!AC63*(AB114*(100-AB171)/100000)</f>
        <v>0</v>
      </c>
      <c r="AC56" s="1081">
        <f>Mtoe!AD63*(AC114*(100-AC171)/100000)</f>
        <v>0</v>
      </c>
      <c r="AD56" s="969">
        <f>Mtoe!AE63*(AD114*(100-AD171)/100000)</f>
        <v>0</v>
      </c>
      <c r="AE56" s="1082">
        <f>Mtoe!AF63*(AE114*(100-AE171)/100000)</f>
        <v>0</v>
      </c>
      <c r="AF56" s="1082">
        <f>Mtoe!AG63*(AF114*(100-AF171)/100000)</f>
        <v>0</v>
      </c>
      <c r="AG56" s="1083">
        <f>Mtoe!AH63*(AG114*(100-AG171)/100000)</f>
        <v>0</v>
      </c>
      <c r="AH56" s="1084">
        <f ca="1">Mtoe!AI63*(AH114*(100-AH171)/100000)</f>
        <v>0</v>
      </c>
      <c r="AI56" s="1085"/>
      <c r="AJ56" s="222">
        <f ca="1" t="shared" si="54"/>
        <v>4.36631525501319</v>
      </c>
      <c r="AK56" s="792"/>
      <c r="AL56" s="792"/>
      <c r="AM56" s="793" t="s">
        <v>127</v>
      </c>
      <c r="AN56" s="982">
        <f t="shared" si="64"/>
        <v>0</v>
      </c>
      <c r="AO56" s="794">
        <f ca="1" t="shared" si="63"/>
        <v>4.666642789479553</v>
      </c>
      <c r="AP56" s="924">
        <f t="shared" si="63"/>
        <v>0</v>
      </c>
      <c r="AQ56" s="925">
        <f t="shared" si="63"/>
        <v>0</v>
      </c>
      <c r="AR56" s="972">
        <f aca="true" t="shared" si="67" ref="AR56:AR57">AR83*AR100/1000000</f>
        <v>0</v>
      </c>
      <c r="AS56" s="915">
        <f t="shared" si="63"/>
        <v>0</v>
      </c>
      <c r="AT56" s="915">
        <f t="shared" si="63"/>
        <v>0</v>
      </c>
      <c r="AU56" s="926">
        <f t="shared" si="63"/>
        <v>0</v>
      </c>
      <c r="AV56" s="895">
        <f ca="1">AV$28*(Mtoe!AI63/Mtoe!AI$35)</f>
        <v>110.44263938556904</v>
      </c>
      <c r="AW56" s="154">
        <f>AW$28*(Mtoe!AJ63/Mtoe!AJ$35)</f>
        <v>0</v>
      </c>
      <c r="AX56" s="889">
        <f ca="1" t="shared" si="57"/>
        <v>115.10928217504859</v>
      </c>
      <c r="AY56" s="917">
        <f ca="1" t="shared" si="50"/>
        <v>0.5274993802015542</v>
      </c>
      <c r="AZ56" s="917" t="s">
        <v>94</v>
      </c>
      <c r="BA56" s="931"/>
      <c r="BB56" s="932"/>
    </row>
    <row r="57" spans="1:54" ht="15.75" thickBot="1">
      <c r="A57" s="209" t="s">
        <v>132</v>
      </c>
      <c r="B57" s="210">
        <f>($C$4/B$4)*Mtoe!AA64*(B115*(100-B172)/10)</f>
        <v>0</v>
      </c>
      <c r="C57" s="1086">
        <f ca="1">($C$4/C$4)*Mtoe!AB64*(C115*(100-C172)/10)</f>
        <v>0.034659615747301496</v>
      </c>
      <c r="D57" s="1087">
        <f>($C$4/D$4)*Mtoe!AC64*(D115*(100-D172)/10)</f>
        <v>0</v>
      </c>
      <c r="E57" s="1088">
        <f>($C$4/E$4)*Mtoe!AD64*(E115*(100-E172)/10)</f>
        <v>0</v>
      </c>
      <c r="F57" s="1069">
        <f t="shared" si="65"/>
        <v>0</v>
      </c>
      <c r="G57" s="1082"/>
      <c r="H57" s="1082"/>
      <c r="I57" s="1089">
        <f>($C$4/I$4)*Mtoe!AH64*(I115*(100-I172)/10)</f>
        <v>0</v>
      </c>
      <c r="J57" s="1090"/>
      <c r="K57" s="1085"/>
      <c r="L57" s="222">
        <f ca="1" t="shared" si="52"/>
        <v>0.034659615747301496</v>
      </c>
      <c r="M57" s="1093"/>
      <c r="N57" s="1085">
        <f>($C$4/B$4)*Mtoe!AA64*((130/32)*(N115*(100-N172)/10))</f>
        <v>0</v>
      </c>
      <c r="O57" s="1086">
        <f ca="1">($C$4/C$4)*Mtoe!AO64*(O115*(100-O172)/10)</f>
        <v>0.10837957865333936</v>
      </c>
      <c r="P57" s="1087">
        <f>($C$4/D$4)*Mtoe!AC64*((130/32)*(P115*(100-P172)/10))</f>
        <v>0</v>
      </c>
      <c r="Q57" s="1088">
        <f>($C$4/E$4)*Mtoe!AD64*((130/32)*(Q115*(100-Q172)/10))</f>
        <v>0</v>
      </c>
      <c r="R57" s="1069">
        <f t="shared" si="66"/>
        <v>0</v>
      </c>
      <c r="S57" s="1082"/>
      <c r="T57" s="1082"/>
      <c r="U57" s="1089">
        <f>($C$4/I$4)*Mtoe!AH64*((130/32)*(U115*(100-U172)/10))</f>
        <v>0</v>
      </c>
      <c r="V57" s="1090"/>
      <c r="W57" s="1085"/>
      <c r="X57" s="222">
        <f ca="1" t="shared" si="53"/>
        <v>0.10837957865333936</v>
      </c>
      <c r="Y57" s="1093"/>
      <c r="Z57" s="1085">
        <f>Mtoe!AA64*(Z115*(100-Z172)/100000)</f>
        <v>0</v>
      </c>
      <c r="AA57" s="1086">
        <f ca="1">Mtoe!AB64*(AA115*(100-AA172)/100000)</f>
        <v>2.07957694483809</v>
      </c>
      <c r="AB57" s="1087">
        <f>Mtoe!AC64*(AB115*(100-AB172)/100000)</f>
        <v>0</v>
      </c>
      <c r="AC57" s="1088">
        <f>Mtoe!AD64*(AC115*(100-AC172)/100000)</f>
        <v>0</v>
      </c>
      <c r="AD57" s="1069">
        <f>Mtoe!AE64*(AD115*(100-AD172)/100000)</f>
        <v>0</v>
      </c>
      <c r="AE57" s="1082">
        <f>Mtoe!AF64*(AE115*(100-AE172)/100000)</f>
        <v>0</v>
      </c>
      <c r="AF57" s="1082">
        <f>Mtoe!AG64*(AF115*(100-AF172)/100000)</f>
        <v>0</v>
      </c>
      <c r="AG57" s="1089">
        <f>Mtoe!AH64*(AG115*(100-AG172)/100000)</f>
        <v>0</v>
      </c>
      <c r="AH57" s="1090">
        <f ca="1">Mtoe!AI64*(AH115*(100-AH172)/100000)</f>
        <v>0</v>
      </c>
      <c r="AI57" s="1085"/>
      <c r="AJ57" s="222">
        <f ca="1" t="shared" si="54"/>
        <v>2.07957694483809</v>
      </c>
      <c r="AK57" s="792"/>
      <c r="AL57" s="792"/>
      <c r="AM57" s="793" t="s">
        <v>132</v>
      </c>
      <c r="AN57" s="982">
        <f t="shared" si="64"/>
        <v>0</v>
      </c>
      <c r="AO57" s="795">
        <f ca="1" t="shared" si="63"/>
        <v>2.2226161392387307</v>
      </c>
      <c r="AP57" s="928">
        <f t="shared" si="63"/>
        <v>0</v>
      </c>
      <c r="AQ57" s="929">
        <f t="shared" si="63"/>
        <v>0</v>
      </c>
      <c r="AR57" s="1072">
        <f t="shared" si="67"/>
        <v>0</v>
      </c>
      <c r="AS57" s="915">
        <f t="shared" si="63"/>
        <v>0</v>
      </c>
      <c r="AT57" s="915">
        <f t="shared" si="63"/>
        <v>0</v>
      </c>
      <c r="AU57" s="930">
        <f t="shared" si="63"/>
        <v>0</v>
      </c>
      <c r="AV57" s="1030">
        <f ca="1">AV$28*(Mtoe!AI64/Mtoe!AI$35)</f>
        <v>48.88490189584512</v>
      </c>
      <c r="AW57" s="154">
        <f>AW$28*(Mtoe!AJ64/Mtoe!AJ$35)</f>
        <v>0</v>
      </c>
      <c r="AX57" s="889">
        <f ca="1" t="shared" si="57"/>
        <v>51.10751803508385</v>
      </c>
      <c r="AY57" s="917">
        <f ca="1" t="shared" si="50"/>
        <v>0.23420512731674586</v>
      </c>
      <c r="AZ57" s="918" t="s">
        <v>94</v>
      </c>
      <c r="BA57" s="931"/>
      <c r="BB57" s="932"/>
    </row>
    <row r="58" spans="1:54" ht="12.75">
      <c r="A58" s="48" t="s">
        <v>40</v>
      </c>
      <c r="B58" s="49">
        <f>($C$4/B$4)*Mtoe!AA65*(B116*(100-B173)/10)</f>
        <v>0</v>
      </c>
      <c r="C58" s="49">
        <f>($C$4/C$4)*Mtoe!AB65*(C116*(100-C173)/10)</f>
        <v>0</v>
      </c>
      <c r="D58" s="49">
        <f>($C$4/D$4)*Mtoe!AC65*(D116*(100-D173)/10)</f>
        <v>0</v>
      </c>
      <c r="E58" s="49">
        <f>($C$4/E$4)*Mtoe!AD65*(E116*(100-E173)/10)</f>
        <v>0</v>
      </c>
      <c r="F58" s="49"/>
      <c r="G58" s="49"/>
      <c r="H58" s="49"/>
      <c r="I58" s="49">
        <f>($C$4/I$4)*Mtoe!AH65*(I116*(100-I173)/10)</f>
        <v>0</v>
      </c>
      <c r="J58" s="180"/>
      <c r="K58" s="49"/>
      <c r="L58" s="55">
        <f t="shared" si="52"/>
        <v>0</v>
      </c>
      <c r="M58" s="1092"/>
      <c r="N58" s="49">
        <f>($C$4/B$4)*Mtoe!AA65*((130/32)*(N116*(100-N173)/10))</f>
        <v>0</v>
      </c>
      <c r="O58" s="49">
        <f>($C$4/C$4)*Mtoe!AB65*((130/32)*(O116*(100-O173)/10))</f>
        <v>0</v>
      </c>
      <c r="P58" s="49">
        <f>($C$4/D$4)*Mtoe!AC65*((130/32)*(P116*(100-P173)/10))</f>
        <v>0</v>
      </c>
      <c r="Q58" s="49">
        <f>($C$4/E$4)*Mtoe!AD65*((130/32)*(Q116*(100-Q173)/10))</f>
        <v>0</v>
      </c>
      <c r="R58" s="49"/>
      <c r="S58" s="49"/>
      <c r="T58" s="49"/>
      <c r="U58" s="49">
        <f>($C$4/I$4)*Mtoe!AH65*((130/32)*(U116*(100-U173)/10))</f>
        <v>0</v>
      </c>
      <c r="V58" s="49"/>
      <c r="W58" s="49"/>
      <c r="X58" s="55">
        <f t="shared" si="53"/>
        <v>0</v>
      </c>
      <c r="Y58" s="1092"/>
      <c r="Z58" s="49">
        <f>Mtoe!AA65*(Z116*(100-Z173)/100000)</f>
        <v>0</v>
      </c>
      <c r="AA58" s="49">
        <f>Mtoe!AB65*(AA116*(100-AA173)/100000)</f>
        <v>0</v>
      </c>
      <c r="AB58" s="49">
        <f>Mtoe!AC65*(AB116*(100-AB173)/100000)</f>
        <v>0</v>
      </c>
      <c r="AC58" s="49">
        <f>Mtoe!AD65*(AC116*(100-AC173)/100000)</f>
        <v>0.027500000000000004</v>
      </c>
      <c r="AD58" s="49">
        <f>Mtoe!AE65*(AD116*(100-AD173)/100000)</f>
        <v>0</v>
      </c>
      <c r="AE58" s="49">
        <f>Mtoe!AF65*(AE116*(100-AE173)/100000)</f>
        <v>0</v>
      </c>
      <c r="AF58" s="49">
        <f>Mtoe!AG65*(AF116*(100-AF173)/100000)</f>
        <v>0</v>
      </c>
      <c r="AG58" s="49">
        <f>Mtoe!AH65*(AG116*(100-AG173)/100000)</f>
        <v>0</v>
      </c>
      <c r="AH58" s="49">
        <f>-Mtoe!AI65*(AH116*(100-AH173)/100000)</f>
        <v>0</v>
      </c>
      <c r="AI58" s="49"/>
      <c r="AJ58" s="55">
        <f t="shared" si="54"/>
        <v>0.027500000000000004</v>
      </c>
      <c r="AL58" s="26"/>
      <c r="AM58" s="148" t="s">
        <v>40</v>
      </c>
      <c r="AN58" s="155">
        <f t="shared" si="64"/>
        <v>0</v>
      </c>
      <c r="AO58" s="262">
        <f t="shared" si="63"/>
        <v>0</v>
      </c>
      <c r="AP58" s="262">
        <f t="shared" si="63"/>
        <v>0</v>
      </c>
      <c r="AQ58" s="262">
        <f t="shared" si="63"/>
        <v>0.027500000000000004</v>
      </c>
      <c r="AR58" s="262">
        <f t="shared" si="63"/>
        <v>0</v>
      </c>
      <c r="AS58" s="262">
        <f t="shared" si="63"/>
        <v>0</v>
      </c>
      <c r="AT58" s="262">
        <f t="shared" si="63"/>
        <v>0</v>
      </c>
      <c r="AU58" s="262">
        <f t="shared" si="63"/>
        <v>0</v>
      </c>
      <c r="AV58" s="154">
        <f>AV$28*(Mtoe!AI65/Mtoe!AI$35)</f>
        <v>4.212419143283253</v>
      </c>
      <c r="AW58" s="154">
        <f>AW$28*(Mtoe!AJ65/Mtoe!AJ$35)</f>
        <v>0</v>
      </c>
      <c r="AX58" s="157">
        <f t="shared" si="57"/>
        <v>4.239919143283253</v>
      </c>
      <c r="AY58" s="4">
        <f ca="1" t="shared" si="50"/>
        <v>0.01942983813230157</v>
      </c>
      <c r="AZ58" s="4" t="s">
        <v>94</v>
      </c>
      <c r="BA58" s="142"/>
      <c r="BB58" s="91"/>
    </row>
    <row r="59" spans="1:54" ht="12.75">
      <c r="A59" s="112" t="s">
        <v>99</v>
      </c>
      <c r="B59" s="49">
        <f>($C$4/B$4)*Mtoe!AA66*(B117*(100-B174)/10)</f>
        <v>0</v>
      </c>
      <c r="C59" s="49">
        <f>($C$4/C$4)*Mtoe!AB66*(C117*(100-C174)/10)</f>
        <v>0</v>
      </c>
      <c r="D59" s="49">
        <f>($C$4/D$4)*Mtoe!AC66*(D117*(100-D174)/10)</f>
        <v>0.376</v>
      </c>
      <c r="E59" s="49">
        <f>($C$4/E$4)*Mtoe!AD66*(E117*(100-E174)/10)</f>
        <v>0</v>
      </c>
      <c r="F59" s="49"/>
      <c r="G59" s="49"/>
      <c r="H59" s="49"/>
      <c r="I59" s="49">
        <f>($C$4/I$4)*Mtoe!AH66*(I117*(100-I174)/10)</f>
        <v>0</v>
      </c>
      <c r="J59" s="180"/>
      <c r="K59" s="49"/>
      <c r="L59" s="55">
        <f t="shared" si="52"/>
        <v>0.376</v>
      </c>
      <c r="N59" s="49">
        <f>($C$4/B$4)*Mtoe!AA66*((130/32)*(N117*(100-N174)/10))</f>
        <v>0</v>
      </c>
      <c r="O59" s="49">
        <f>($C$4/C$4)*Mtoe!AB66*((130/32)*(O117*(100-O174)/10))</f>
        <v>0</v>
      </c>
      <c r="P59" s="49">
        <f>($C$4/D$4)*Mtoe!AC66*((130/32)*(P117*(100-P174)/10))</f>
        <v>61.099999999999994</v>
      </c>
      <c r="Q59" s="49">
        <f>($C$4/E$4)*Mtoe!AD66*((130/32)*(Q117*(100-Q174)/10))</f>
        <v>0</v>
      </c>
      <c r="R59" s="49"/>
      <c r="S59" s="49"/>
      <c r="T59" s="49"/>
      <c r="U59" s="49">
        <f>($C$4/I$4)*Mtoe!AH66*((130/32)*(U117*(100-U174)/10))</f>
        <v>0</v>
      </c>
      <c r="V59" s="49"/>
      <c r="W59" s="49"/>
      <c r="X59" s="55">
        <f t="shared" si="53"/>
        <v>61.099999999999994</v>
      </c>
      <c r="Z59" s="49">
        <f>Mtoe!AA66*(Z117*(100-Z174)/100000)</f>
        <v>0</v>
      </c>
      <c r="AA59" s="49">
        <f>Mtoe!AB66*(AA117*(100-AA174)/100000)</f>
        <v>0</v>
      </c>
      <c r="AB59" s="49">
        <f>Mtoe!AC66*(AB117*(100-AB174)/100000)</f>
        <v>22.56</v>
      </c>
      <c r="AC59" s="49">
        <f>Mtoe!AD66*(AC117*(100-AC174)/100000)</f>
        <v>0</v>
      </c>
      <c r="AD59" s="49">
        <f>Mtoe!AE66*(AD117*(100-AD174)/100000)</f>
        <v>0</v>
      </c>
      <c r="AE59" s="49">
        <f>Mtoe!AF66*(AE117*(100-AE174)/100000)</f>
        <v>0</v>
      </c>
      <c r="AF59" s="49">
        <f>Mtoe!AG66*(AF117*(100-AF174)/100000)</f>
        <v>0</v>
      </c>
      <c r="AG59" s="49">
        <f>Mtoe!AH66*(AG117*(100-AG174)/100000)</f>
        <v>0</v>
      </c>
      <c r="AH59" s="49">
        <f>-Mtoe!AI66*(AH117*(100-AH174)/100000)</f>
        <v>0</v>
      </c>
      <c r="AI59" s="49"/>
      <c r="AJ59" s="55">
        <f t="shared" si="54"/>
        <v>22.56</v>
      </c>
      <c r="AL59" s="26"/>
      <c r="AM59" s="148" t="s">
        <v>41</v>
      </c>
      <c r="AN59" s="155">
        <f t="shared" si="64"/>
        <v>0</v>
      </c>
      <c r="AO59" s="154">
        <f t="shared" si="63"/>
        <v>0</v>
      </c>
      <c r="AP59" s="154">
        <f t="shared" si="63"/>
        <v>84.03599999999999</v>
      </c>
      <c r="AQ59" s="154">
        <f t="shared" si="63"/>
        <v>0</v>
      </c>
      <c r="AR59" s="154">
        <f t="shared" si="63"/>
        <v>0</v>
      </c>
      <c r="AS59" s="154">
        <f t="shared" si="63"/>
        <v>0</v>
      </c>
      <c r="AT59" s="154">
        <f t="shared" si="63"/>
        <v>0</v>
      </c>
      <c r="AU59" s="154">
        <f t="shared" si="63"/>
        <v>0</v>
      </c>
      <c r="AV59" s="154">
        <f>AV$28*(Mtoe!AI66/Mtoe!AI$35)</f>
        <v>0</v>
      </c>
      <c r="AW59" s="154">
        <f>AW$28*(Mtoe!AJ66/Mtoe!AJ$35)</f>
        <v>0</v>
      </c>
      <c r="AX59" s="157">
        <f t="shared" si="57"/>
        <v>84.03599999999999</v>
      </c>
      <c r="AY59" s="4">
        <f ca="1" t="shared" si="50"/>
        <v>0.38510306968299957</v>
      </c>
      <c r="AZ59" s="4" t="s">
        <v>94</v>
      </c>
      <c r="BA59" s="142"/>
      <c r="BB59" s="91"/>
    </row>
    <row r="60" spans="1:54" ht="12.75">
      <c r="A60" s="57" t="s">
        <v>35</v>
      </c>
      <c r="B60" s="181">
        <f>($C$4/B$4)*Mtoe!AA67*(B118*(100-B175)/10)</f>
        <v>0</v>
      </c>
      <c r="C60" s="58">
        <f>($C$4/C$4)*Mtoe!AB67*(C118*(100-C175)/10)</f>
        <v>0</v>
      </c>
      <c r="D60" s="58">
        <f>($C$4/D$4)*Mtoe!AC67*(D118*(100-D175)/10)</f>
        <v>0.0075</v>
      </c>
      <c r="E60" s="58">
        <f>($C$4/E$4)*Mtoe!AD67*(E118*(100-E175)/10)</f>
        <v>0</v>
      </c>
      <c r="F60" s="58"/>
      <c r="G60" s="58"/>
      <c r="H60" s="58"/>
      <c r="I60" s="58">
        <f>($C$4/I$4)*Mtoe!AH67*(I118*(100-I175)/10)</f>
        <v>0</v>
      </c>
      <c r="J60" s="190"/>
      <c r="K60" s="58"/>
      <c r="L60" s="67">
        <f t="shared" si="52"/>
        <v>0.0075</v>
      </c>
      <c r="M60" s="203"/>
      <c r="N60" s="58">
        <f>($C$4/B$4)*Mtoe!AA67*((130/32)*(N118*(100-N175)/10))</f>
        <v>0</v>
      </c>
      <c r="O60" s="58">
        <f>($C$4/C$4)*Mtoe!AB67*((130/32)*(O118*(100-O175)/10))</f>
        <v>0</v>
      </c>
      <c r="P60" s="58">
        <f>($C$4/D$4)*Mtoe!AC67*((130/32)*(P118*(100-P175)/10))</f>
        <v>1.21875</v>
      </c>
      <c r="Q60" s="58">
        <f>($C$4/E$4)*Mtoe!AD67*((130/32)*(Q118*(100-Q175)/10))</f>
        <v>0</v>
      </c>
      <c r="R60" s="58"/>
      <c r="S60" s="58"/>
      <c r="T60" s="58"/>
      <c r="U60" s="58">
        <f>($C$4/I$4)*Mtoe!AH67*((130/32)*(U118*(100-U175)/10))</f>
        <v>0</v>
      </c>
      <c r="V60" s="58"/>
      <c r="W60" s="58"/>
      <c r="X60" s="67">
        <f t="shared" si="53"/>
        <v>1.21875</v>
      </c>
      <c r="Y60" s="203"/>
      <c r="Z60" s="58">
        <f>Mtoe!AA67*(Z118*(100-Z175)/100000)</f>
        <v>0</v>
      </c>
      <c r="AA60" s="58">
        <f>Mtoe!AB67*(AA118*(100-AA175)/100000)</f>
        <v>0</v>
      </c>
      <c r="AB60" s="58">
        <f>Mtoe!AC67*(AB118*(100-AB175)/100000)</f>
        <v>0.3</v>
      </c>
      <c r="AC60" s="58">
        <f>Mtoe!AD67*(AC118*(100-AC175)/100000)</f>
        <v>0.00425</v>
      </c>
      <c r="AD60" s="58">
        <f>Mtoe!AE67*(AD118*(100-AD175)/100000)</f>
        <v>0</v>
      </c>
      <c r="AE60" s="58">
        <f>Mtoe!AF67*(AE118*(100-AE175)/100000)</f>
        <v>0</v>
      </c>
      <c r="AF60" s="58">
        <f>Mtoe!AG67*(AF118*(100-AF175)/100000)</f>
        <v>0</v>
      </c>
      <c r="AG60" s="58">
        <f>Mtoe!AH67*(AG118*(100-AG175)/100000)</f>
        <v>0</v>
      </c>
      <c r="AH60" s="58">
        <f>-Mtoe!AI67*(AH118*(100-AH175)/100000)</f>
        <v>0</v>
      </c>
      <c r="AI60" s="58"/>
      <c r="AJ60" s="67">
        <f t="shared" si="54"/>
        <v>0.30424999999999996</v>
      </c>
      <c r="AK60" s="203"/>
      <c r="AL60" s="203"/>
      <c r="AM60" s="150" t="s">
        <v>35</v>
      </c>
      <c r="AN60" s="263">
        <f t="shared" si="64"/>
        <v>0</v>
      </c>
      <c r="AO60" s="161">
        <f t="shared" si="63"/>
        <v>0</v>
      </c>
      <c r="AP60" s="161">
        <f t="shared" si="63"/>
        <v>1.52625</v>
      </c>
      <c r="AQ60" s="161">
        <f t="shared" si="63"/>
        <v>0.00425</v>
      </c>
      <c r="AR60" s="161">
        <f t="shared" si="63"/>
        <v>0</v>
      </c>
      <c r="AS60" s="161">
        <f t="shared" si="63"/>
        <v>0</v>
      </c>
      <c r="AT60" s="161">
        <f t="shared" si="63"/>
        <v>0</v>
      </c>
      <c r="AU60" s="161">
        <f t="shared" si="63"/>
        <v>0</v>
      </c>
      <c r="AV60" s="161">
        <f>AV$28*(Mtoe!AI67/Mtoe!AI$35)</f>
        <v>55.46351871989617</v>
      </c>
      <c r="AW60" s="161">
        <f>AW$28*(Mtoe!AJ67/Mtoe!AJ$35)</f>
        <v>0</v>
      </c>
      <c r="AX60" s="162">
        <f t="shared" si="57"/>
        <v>56.994018719896175</v>
      </c>
      <c r="AY60" s="693">
        <f ca="1" t="shared" si="50"/>
        <v>0.2611805840663806</v>
      </c>
      <c r="AZ60" s="693" t="s">
        <v>94</v>
      </c>
      <c r="BA60" s="142"/>
      <c r="BB60" s="91"/>
    </row>
    <row r="61" spans="1:54" ht="12.75">
      <c r="A61" s="55" t="s">
        <v>42</v>
      </c>
      <c r="B61" s="49"/>
      <c r="C61" s="49"/>
      <c r="D61" s="49"/>
      <c r="E61" s="49"/>
      <c r="F61" s="49"/>
      <c r="G61" s="49"/>
      <c r="H61" s="49"/>
      <c r="I61" s="49"/>
      <c r="J61" s="180"/>
      <c r="K61" s="49"/>
      <c r="L61" s="55">
        <f>SUM(L62:L68)</f>
        <v>122.11767689732143</v>
      </c>
      <c r="N61" s="49">
        <f>($C$4/B$4)*Mtoe!B64*((130/32)*(N119*(100-N176)/10))</f>
        <v>0</v>
      </c>
      <c r="O61" s="49">
        <f>($C$4/C$4)*Mtoe!C64*((130/32)*(O119*(100-O176)/10))</f>
        <v>0</v>
      </c>
      <c r="P61" s="49">
        <f>($C$4/D$4)*Mtoe!D64*((130/32)*(P119*(100-P176)/10))</f>
        <v>0</v>
      </c>
      <c r="Q61" s="49">
        <f>($C$4/E$4)*Mtoe!E64*((130/32)*(Q119*(100-Q176)/10))</f>
        <v>0</v>
      </c>
      <c r="R61" s="49"/>
      <c r="S61" s="49"/>
      <c r="T61" s="49"/>
      <c r="U61" s="49">
        <f>($C$4/I$4)*Mtoe!I64*((130/32)*(U119*(100-U176)/10))</f>
        <v>0</v>
      </c>
      <c r="V61" s="49"/>
      <c r="W61" s="49"/>
      <c r="X61" s="55">
        <f>SUM(X62:X68)</f>
        <v>2145.2958007812504</v>
      </c>
      <c r="Z61" s="49">
        <f>-Mtoe!AA68*(Z119*(100-Z176)/100000)</f>
        <v>0</v>
      </c>
      <c r="AA61" s="49">
        <f>-Mtoe!AB68*(AA119*(100-AA176)/100000)</f>
        <v>0</v>
      </c>
      <c r="AB61" s="49">
        <f>-Mtoe!AC68*(AB119*(100-AB176)/100000)</f>
        <v>0</v>
      </c>
      <c r="AC61" s="49">
        <f>-Mtoe!AD68*(AC119*(100-AC176)/100000)</f>
        <v>0</v>
      </c>
      <c r="AD61" s="49">
        <f>-Mtoe!AE68*(AD119*(100-AD176)/100000)</f>
        <v>0</v>
      </c>
      <c r="AE61" s="49">
        <f>-Mtoe!AF68*(AE119*(100-AE176)/100000)</f>
        <v>0</v>
      </c>
      <c r="AF61" s="49">
        <f>-Mtoe!AG68*(AF119*(100-AF176)/100000)</f>
        <v>0</v>
      </c>
      <c r="AG61" s="49">
        <f>-Mtoe!AH68*(AG119*(100-AG176)/100000)</f>
        <v>0</v>
      </c>
      <c r="AH61" s="49">
        <f>-Mtoe!AI68*(AH119*(100-AH176)/100000)</f>
        <v>0</v>
      </c>
      <c r="AI61" s="49"/>
      <c r="AJ61" s="55">
        <f>SUM(AJ62:AJ68)</f>
        <v>201.282</v>
      </c>
      <c r="AL61" s="26"/>
      <c r="AM61" s="170" t="s">
        <v>42</v>
      </c>
      <c r="AN61" s="711">
        <f>SUM(AN62:AN68)</f>
        <v>1565.9601562500004</v>
      </c>
      <c r="AO61" s="160">
        <f aca="true" t="shared" si="68" ref="AO61:AW61">SUM(AO62:AO68)</f>
        <v>0</v>
      </c>
      <c r="AP61" s="160">
        <f t="shared" si="68"/>
        <v>771.4197499999999</v>
      </c>
      <c r="AQ61" s="160">
        <f t="shared" si="68"/>
        <v>12.269499999999999</v>
      </c>
      <c r="AR61" s="160">
        <f t="shared" si="68"/>
        <v>0</v>
      </c>
      <c r="AS61" s="160">
        <f t="shared" si="68"/>
        <v>0</v>
      </c>
      <c r="AT61" s="160">
        <f t="shared" si="68"/>
        <v>0</v>
      </c>
      <c r="AU61" s="160">
        <f t="shared" si="68"/>
        <v>119.04607142857142</v>
      </c>
      <c r="AV61" s="160">
        <f t="shared" si="68"/>
        <v>5436.477939335645</v>
      </c>
      <c r="AW61" s="160">
        <f t="shared" si="68"/>
        <v>1474.1080827963915</v>
      </c>
      <c r="AX61" s="153">
        <f>SUM(AN61:AW61)</f>
        <v>9379.281499810608</v>
      </c>
      <c r="AY61" s="11">
        <f ca="1">SUM(AY62:AY68)</f>
        <v>42.98146148077055</v>
      </c>
      <c r="AZ61" s="11"/>
      <c r="BA61" s="831"/>
      <c r="BB61" s="91"/>
    </row>
    <row r="62" spans="1:54" ht="12.75">
      <c r="A62" s="212" t="s">
        <v>43</v>
      </c>
      <c r="B62" s="49">
        <f>($C$4/B$4)*Mtoe!AA69*(B120*(100-B177)*C177/10)</f>
        <v>70.34951171875001</v>
      </c>
      <c r="C62" s="49">
        <f>($C$4/C$4)*Mtoe!AB69*(C120*(100-C177)/10)</f>
        <v>0</v>
      </c>
      <c r="D62" s="49">
        <f>($C$4/D$4)*Mtoe!AC69*(D120*(100-D177)/10)</f>
        <v>2.347</v>
      </c>
      <c r="E62" s="49">
        <f>($C$4/E$4)*Mtoe!AD69*(E120*(100-E177)/10)</f>
        <v>0</v>
      </c>
      <c r="F62" s="49"/>
      <c r="G62" s="49"/>
      <c r="H62" s="49"/>
      <c r="I62" s="49">
        <f>($C$4/I$4)*Mtoe!AH69*(I120*(100-I177)*J177/10)</f>
        <v>25.700178571428573</v>
      </c>
      <c r="J62" s="180"/>
      <c r="K62" s="49"/>
      <c r="L62" s="55">
        <f>SUM(B62:K62)</f>
        <v>98.39669029017858</v>
      </c>
      <c r="N62" s="49">
        <f>($C$4/B$4)*Mtoe!AA69*((130/32)*(N120*(100-N177)/10))</f>
        <v>1143.1795654296877</v>
      </c>
      <c r="O62" s="49">
        <f>($C$4/C$4)*Mtoe!AB69*((130/32)*(O120*(100-O177)/10))</f>
        <v>0</v>
      </c>
      <c r="P62" s="49">
        <f>($C$4/D$4)*Mtoe!AC69*((130/32)*(P120*(100-P177)/10))</f>
        <v>381.3875</v>
      </c>
      <c r="Q62" s="49">
        <f>($C$4/E$4)*Mtoe!AD69*((130/32)*(Q120*(100-Q177)/10))</f>
        <v>0</v>
      </c>
      <c r="R62" s="49"/>
      <c r="S62" s="49"/>
      <c r="T62" s="49"/>
      <c r="U62" s="49">
        <f>($C$4/I$4)*Mtoe!AH69*((130/32)*(U120*(100-U177)/10))</f>
        <v>0</v>
      </c>
      <c r="V62" s="49"/>
      <c r="W62" s="49"/>
      <c r="X62" s="55">
        <f>SUM(N62:W62)</f>
        <v>1524.5670654296878</v>
      </c>
      <c r="Z62" s="49">
        <f>Mtoe!AA69*(Z120*(100-Z177)/100000)</f>
        <v>38.075</v>
      </c>
      <c r="AA62" s="49">
        <f>Mtoe!AB69*(AA120*(100-AA177)/100000)</f>
        <v>0</v>
      </c>
      <c r="AB62" s="49">
        <f>Mtoe!AC69*(AB120*(100-AB177)/100000)</f>
        <v>23.47</v>
      </c>
      <c r="AC62" s="49">
        <f>Mtoe!AD69*(AC120*(100-AC177)/100000)</f>
        <v>8.886</v>
      </c>
      <c r="AD62" s="49">
        <f>Mtoe!AE69*(AD120*(100-AD177)/100000)</f>
        <v>0</v>
      </c>
      <c r="AE62" s="49">
        <f>Mtoe!AF69*(AE120*(100-AE177)/100000)</f>
        <v>0</v>
      </c>
      <c r="AF62" s="49">
        <f>Mtoe!AG69*(AF120*(100-AF177)/100000)</f>
        <v>0</v>
      </c>
      <c r="AG62" s="49">
        <f>Mtoe!AH69*(AG120*(100-AG177)/100000)</f>
        <v>83.675</v>
      </c>
      <c r="AH62" s="49">
        <f>Mtoe!AI69*(AH120*(100-AH177)/100000)</f>
        <v>0</v>
      </c>
      <c r="AI62" s="49"/>
      <c r="AJ62" s="55">
        <f>SUM(Z62:AI62)</f>
        <v>154.106</v>
      </c>
      <c r="AL62" s="26"/>
      <c r="AM62" s="168" t="s">
        <v>43</v>
      </c>
      <c r="AN62" s="155">
        <f aca="true" t="shared" si="69" ref="AN62:AU68">B62+N62+Z62</f>
        <v>1251.6040771484377</v>
      </c>
      <c r="AO62" s="154">
        <f t="shared" si="69"/>
        <v>0</v>
      </c>
      <c r="AP62" s="154">
        <f t="shared" si="69"/>
        <v>407.20449999999994</v>
      </c>
      <c r="AQ62" s="154">
        <f t="shared" si="69"/>
        <v>8.886</v>
      </c>
      <c r="AR62" s="154">
        <f t="shared" si="69"/>
        <v>0</v>
      </c>
      <c r="AS62" s="154">
        <f t="shared" si="69"/>
        <v>0</v>
      </c>
      <c r="AT62" s="154">
        <f t="shared" si="69"/>
        <v>0</v>
      </c>
      <c r="AU62" s="154">
        <f t="shared" si="69"/>
        <v>109.37517857142856</v>
      </c>
      <c r="AV62" s="154">
        <f>AV$28*(Mtoe!AI69/Mtoe!AI$35)</f>
        <v>2727.892430204513</v>
      </c>
      <c r="AW62" s="154">
        <f>AW$28*(Mtoe!AJ69/Mtoe!AJ$35)</f>
        <v>842.1468532711045</v>
      </c>
      <c r="AX62" s="157">
        <f>SUM(AN62:AW62)</f>
        <v>5347.109039195483</v>
      </c>
      <c r="AY62" s="4">
        <f aca="true" t="shared" si="70" ref="AY62:AY68">100*AX62/AX$12</f>
        <v>24.50364254514607</v>
      </c>
      <c r="AZ62" s="4" t="s">
        <v>94</v>
      </c>
      <c r="BA62" s="142"/>
      <c r="BB62" s="91"/>
    </row>
    <row r="63" spans="1:54" ht="12.75">
      <c r="A63" s="261" t="s">
        <v>138</v>
      </c>
      <c r="B63" s="49">
        <f>($C$4/B$4)*Mtoe!AA70*(B121*(100-B178)*C178/10)</f>
        <v>11.455468750000001</v>
      </c>
      <c r="C63" s="49">
        <f>($C$4/C$4)*Mtoe!AB70*(C121*(100-C178)/10)</f>
        <v>0</v>
      </c>
      <c r="D63" s="49">
        <f>($C$4/D$4)*Mtoe!AC70*(D121*(100-D178)/10)</f>
        <v>1.04</v>
      </c>
      <c r="E63" s="49">
        <f>($C$4/E$4)*Mtoe!AD70*(E121*(100-E178)/10)</f>
        <v>0</v>
      </c>
      <c r="F63" s="49"/>
      <c r="G63" s="49"/>
      <c r="H63" s="49"/>
      <c r="I63" s="49">
        <f>($C$4/I$4)*Mtoe!AH70*(I121*(100-I178)*J178/10)</f>
        <v>1.45125</v>
      </c>
      <c r="J63" s="180"/>
      <c r="K63" s="49"/>
      <c r="L63" s="56">
        <f>SUM(B63:K63)</f>
        <v>13.94671875</v>
      </c>
      <c r="N63" s="49">
        <f>($C$4/B$4)*Mtoe!AA70*((130/32)*(N121*(100-N178)/10))</f>
        <v>186.15136718750006</v>
      </c>
      <c r="O63" s="49">
        <f>($C$4/C$4)*Mtoe!AB70*((130/32)*(O121*(100-O178)/10))</f>
        <v>0</v>
      </c>
      <c r="P63" s="49">
        <f>($C$4/D$4)*Mtoe!AC70*((130/32)*(P121*(100-P178)/10))</f>
        <v>169</v>
      </c>
      <c r="Q63" s="49">
        <f>($C$4/E$4)*Mtoe!AD70*((130/32)*(Q121*(100-Q178)/10))</f>
        <v>0</v>
      </c>
      <c r="R63" s="49"/>
      <c r="S63" s="49"/>
      <c r="T63" s="49"/>
      <c r="U63" s="49">
        <f>($C$4/I$4)*Mtoe!AH70*((130/32)*(U121*(100-U178)/10))</f>
        <v>0</v>
      </c>
      <c r="V63" s="49"/>
      <c r="W63" s="49"/>
      <c r="X63" s="56">
        <f>SUM(N63:W63)</f>
        <v>355.15136718750006</v>
      </c>
      <c r="Z63" s="49">
        <f>Mtoe!AA70*(Z121*(100-Z178)/100000)</f>
        <v>3.1</v>
      </c>
      <c r="AA63" s="49">
        <f>Mtoe!AB70*(AA121*(100-AA178)/100000)</f>
        <v>0</v>
      </c>
      <c r="AB63" s="49">
        <f>Mtoe!AC70*(AB121*(100-AB178)/100000)</f>
        <v>10.4</v>
      </c>
      <c r="AC63" s="49">
        <f>Mtoe!AD70*(AC121*(100-AC178)/100000)</f>
        <v>2.1745</v>
      </c>
      <c r="AD63" s="49">
        <f>Mtoe!AE70*(AD121*(100-AD178)/100000)</f>
        <v>0</v>
      </c>
      <c r="AE63" s="49">
        <f>Mtoe!AF70*(AE121*(100-AE178)/100000)</f>
        <v>0</v>
      </c>
      <c r="AF63" s="49">
        <f>Mtoe!AG70*(AF121*(100-AF178)/100000)</f>
        <v>0</v>
      </c>
      <c r="AG63" s="49">
        <f>Mtoe!AH70*(AG121*(100-AG178)/100000)</f>
        <v>2.3625</v>
      </c>
      <c r="AH63" s="49">
        <f>Mtoe!AI70*(AH121*(100-AH178)/100000)</f>
        <v>0</v>
      </c>
      <c r="AI63" s="49"/>
      <c r="AJ63" s="56">
        <f>SUM(Z63:AI63)</f>
        <v>18.037</v>
      </c>
      <c r="AL63" s="26"/>
      <c r="AM63" s="706" t="s">
        <v>138</v>
      </c>
      <c r="AN63" s="155">
        <f t="shared" si="69"/>
        <v>200.70683593750005</v>
      </c>
      <c r="AO63" s="154">
        <f t="shared" si="69"/>
        <v>0</v>
      </c>
      <c r="AP63" s="154">
        <f t="shared" si="69"/>
        <v>180.44</v>
      </c>
      <c r="AQ63" s="154">
        <f t="shared" si="69"/>
        <v>2.1745</v>
      </c>
      <c r="AR63" s="154">
        <f t="shared" si="69"/>
        <v>0</v>
      </c>
      <c r="AS63" s="154">
        <f t="shared" si="69"/>
        <v>0</v>
      </c>
      <c r="AT63" s="154">
        <f t="shared" si="69"/>
        <v>0</v>
      </c>
      <c r="AU63" s="154">
        <f t="shared" si="69"/>
        <v>3.8137499999999998</v>
      </c>
      <c r="AV63" s="154">
        <f>AV$28*(Mtoe!AI70/Mtoe!AI$35)</f>
        <v>2513.7611237542815</v>
      </c>
      <c r="AW63" s="154">
        <f>AW$28*(Mtoe!AJ70/Mtoe!AJ$35)</f>
        <v>390.87972344712193</v>
      </c>
      <c r="AX63" s="157">
        <f>SUM(AN63:AW63)</f>
        <v>3291.7759331389034</v>
      </c>
      <c r="AY63" s="4">
        <f ca="1" t="shared" si="70"/>
        <v>15.08488048646309</v>
      </c>
      <c r="AZ63" s="4" t="s">
        <v>94</v>
      </c>
      <c r="BA63" s="142"/>
      <c r="BB63" s="91"/>
    </row>
    <row r="64" spans="1:54" ht="12.75">
      <c r="A64" s="224" t="s">
        <v>135</v>
      </c>
      <c r="B64" s="49"/>
      <c r="C64" s="49">
        <f>($C$4/C$4)*Mtoe!AB71*(C122*(100-C179)/10)</f>
        <v>0</v>
      </c>
      <c r="D64" s="49">
        <f>($C$4/D$4)*Mtoe!AC71*(D122*(100-D179)/10)</f>
        <v>0</v>
      </c>
      <c r="E64" s="49">
        <f>($C$4/E$4)*Mtoe!AD71*(E122*(100-E179)/10)</f>
        <v>0</v>
      </c>
      <c r="F64" s="49"/>
      <c r="G64" s="49"/>
      <c r="H64" s="49"/>
      <c r="I64" s="49">
        <f>($C$4/I$4)*Mtoe!AH71*(I122*(100-I179)*J179/10)</f>
        <v>0</v>
      </c>
      <c r="J64" s="180"/>
      <c r="K64" s="49"/>
      <c r="L64" s="56">
        <f aca="true" t="shared" si="71" ref="L64:L65">SUM(B64:K64)</f>
        <v>0</v>
      </c>
      <c r="N64" s="49">
        <f>($C$4/B$4)*Mtoe!AA71*((130/32)*(N122*(100-N179)/10))</f>
        <v>0</v>
      </c>
      <c r="O64" s="49">
        <f>($C$4/C$4)*Mtoe!AB71*((130/32)*(O122*(100-O179)/10))</f>
        <v>0</v>
      </c>
      <c r="P64" s="49">
        <f>($C$4/D$4)*Mtoe!AC71*((130/32)*(P122*(100-P179)/10))</f>
        <v>0</v>
      </c>
      <c r="Q64" s="49">
        <f>($C$4/E$4)*Mtoe!AD71*((130/32)*(Q122*(100-Q179)/10))</f>
        <v>0</v>
      </c>
      <c r="R64" s="49"/>
      <c r="S64" s="49"/>
      <c r="T64" s="49"/>
      <c r="U64" s="49">
        <f>($C$4/I$4)*Mtoe!AH71*((130/32)*(U122*(100-U179)/10))</f>
        <v>0</v>
      </c>
      <c r="V64" s="49"/>
      <c r="W64" s="49"/>
      <c r="X64" s="56">
        <f aca="true" t="shared" si="72" ref="X64:X65">SUM(N64:W64)</f>
        <v>0</v>
      </c>
      <c r="Z64" s="49">
        <f>Mtoe!AA71*(Z122*(100-Z179)/100000)</f>
        <v>0</v>
      </c>
      <c r="AA64" s="49">
        <f>Mtoe!AB71*(AA122*(100-AA179)/100000)</f>
        <v>0</v>
      </c>
      <c r="AB64" s="49">
        <f>Mtoe!AC71*(AB122*(100-AB179)/100000)</f>
        <v>0</v>
      </c>
      <c r="AC64" s="49">
        <f>Mtoe!AD71*(AC122*(100-AC179)/100000)</f>
        <v>0</v>
      </c>
      <c r="AD64" s="49">
        <f>Mtoe!AE71*(AD122*(100-AD179)/100000)</f>
        <v>0</v>
      </c>
      <c r="AE64" s="49">
        <f>Mtoe!AF71*(AE122*(100-AE179)/100000)</f>
        <v>0</v>
      </c>
      <c r="AF64" s="49">
        <f>Mtoe!AG71*(AF122*(100-AF179)/100000)</f>
        <v>0</v>
      </c>
      <c r="AG64" s="49">
        <f>Mtoe!AH71*(AG122*(100-AG179)/100000)</f>
        <v>0</v>
      </c>
      <c r="AH64" s="49">
        <f>Mtoe!AI71*(AH122*(100-AH179)/100000)</f>
        <v>0</v>
      </c>
      <c r="AI64" s="49"/>
      <c r="AJ64" s="56">
        <f aca="true" t="shared" si="73" ref="AJ64:AJ65">SUM(Z64:AI64)</f>
        <v>0</v>
      </c>
      <c r="AL64" s="26"/>
      <c r="AM64" s="251" t="s">
        <v>135</v>
      </c>
      <c r="AN64" s="155">
        <f t="shared" si="69"/>
        <v>0</v>
      </c>
      <c r="AO64" s="154">
        <f t="shared" si="69"/>
        <v>0</v>
      </c>
      <c r="AP64" s="154">
        <f t="shared" si="69"/>
        <v>0</v>
      </c>
      <c r="AQ64" s="154">
        <f t="shared" si="69"/>
        <v>0</v>
      </c>
      <c r="AR64" s="154">
        <f t="shared" si="69"/>
        <v>0</v>
      </c>
      <c r="AS64" s="154">
        <f t="shared" si="69"/>
        <v>0</v>
      </c>
      <c r="AT64" s="154">
        <f t="shared" si="69"/>
        <v>0</v>
      </c>
      <c r="AU64" s="154">
        <f t="shared" si="69"/>
        <v>0</v>
      </c>
      <c r="AV64" s="154">
        <f>AV$28*(Mtoe!AI71/Mtoe!AI$35)</f>
        <v>0</v>
      </c>
      <c r="AW64" s="154">
        <f>AW$28*(Mtoe!AJ71/Mtoe!AJ$35)</f>
        <v>0</v>
      </c>
      <c r="AX64" s="157">
        <f aca="true" t="shared" si="74" ref="AX64:AX65">SUM(AN64:AW64)</f>
        <v>0</v>
      </c>
      <c r="AY64" s="4">
        <f ca="1" t="shared" si="70"/>
        <v>0</v>
      </c>
      <c r="AZ64" s="4" t="s">
        <v>94</v>
      </c>
      <c r="BA64" s="142"/>
      <c r="BB64" s="91"/>
    </row>
    <row r="65" spans="1:54" ht="12.75">
      <c r="A65" s="690" t="s">
        <v>136</v>
      </c>
      <c r="B65" s="54">
        <f>($C$4/B$4)*Mtoe!AA72*(B123*(100-B180)*C180/10)</f>
        <v>0</v>
      </c>
      <c r="C65" s="54">
        <f>($C$4/C$4)*Mtoe!AB72*(C123*(100-C180)/10)</f>
        <v>0</v>
      </c>
      <c r="D65" s="54">
        <f>($C$4/D$4)*Mtoe!AC72*(D123*(100-D180)/10)</f>
        <v>0</v>
      </c>
      <c r="E65" s="54">
        <f>($C$4/E$4)*Mtoe!AD72*(E123*(100-E180)/10)</f>
        <v>0</v>
      </c>
      <c r="F65" s="54"/>
      <c r="G65" s="54"/>
      <c r="H65" s="54"/>
      <c r="I65" s="54">
        <f>($C$4/I$4)*Mtoe!AH72*(I123*(100-I180)*J180/10)</f>
        <v>0</v>
      </c>
      <c r="J65" s="691"/>
      <c r="K65" s="54"/>
      <c r="L65" s="59">
        <f t="shared" si="71"/>
        <v>0</v>
      </c>
      <c r="M65" s="184"/>
      <c r="N65" s="54">
        <f>($C$4/B$4)*Mtoe!AA72*((130/32)*(N123*(100-N180)/10))</f>
        <v>0</v>
      </c>
      <c r="O65" s="54">
        <f>($C$4/C$4)*Mtoe!AB72*((130/32)*(O123*(100-O180)/10))</f>
        <v>0</v>
      </c>
      <c r="P65" s="54">
        <f>($C$4/D$4)*Mtoe!AC72*((130/32)*(P123*(100-P180)/10))</f>
        <v>0</v>
      </c>
      <c r="Q65" s="54">
        <f>($C$4/E$4)*Mtoe!AD72*((130/32)*(Q123*(100-Q180)/10))</f>
        <v>0</v>
      </c>
      <c r="R65" s="54"/>
      <c r="S65" s="54"/>
      <c r="T65" s="54"/>
      <c r="U65" s="54">
        <f>($C$4/I$4)*Mtoe!AH72*((130/32)*(U123*(100-U180)/10))</f>
        <v>0</v>
      </c>
      <c r="V65" s="54"/>
      <c r="W65" s="54"/>
      <c r="X65" s="59">
        <f t="shared" si="72"/>
        <v>0</v>
      </c>
      <c r="Y65" s="184"/>
      <c r="Z65" s="54">
        <f>Mtoe!AA72*(Z123*(100-Z180)/100000)</f>
        <v>0</v>
      </c>
      <c r="AA65" s="54">
        <f>Mtoe!AB72*(AA123*(100-AA180)/100000)</f>
        <v>0</v>
      </c>
      <c r="AB65" s="54">
        <f>Mtoe!AC72*(AB123*(100-AB180)/100000)</f>
        <v>0</v>
      </c>
      <c r="AC65" s="54">
        <f>Mtoe!AD72*(AC123*(100-AC180)/100000)</f>
        <v>0</v>
      </c>
      <c r="AD65" s="54">
        <f>Mtoe!AE72*(AD123*(100-AD180)/100000)</f>
        <v>0</v>
      </c>
      <c r="AE65" s="54">
        <f>Mtoe!AF72*(AE123*(100-AE180)/100000)</f>
        <v>0</v>
      </c>
      <c r="AF65" s="54">
        <f>Mtoe!AG72*(AF123*(100-AF180)/100000)</f>
        <v>0</v>
      </c>
      <c r="AG65" s="54">
        <f>Mtoe!AH72*(AG123*(100-AG180)/100000)</f>
        <v>0</v>
      </c>
      <c r="AH65" s="54">
        <f>Mtoe!AI72*(AH123*(100-AH180)/100000)</f>
        <v>0</v>
      </c>
      <c r="AI65" s="54"/>
      <c r="AJ65" s="59">
        <f t="shared" si="73"/>
        <v>0</v>
      </c>
      <c r="AK65" s="184"/>
      <c r="AL65" s="184"/>
      <c r="AM65" s="707" t="s">
        <v>136</v>
      </c>
      <c r="AN65" s="156">
        <f t="shared" si="69"/>
        <v>0</v>
      </c>
      <c r="AO65" s="156">
        <f t="shared" si="69"/>
        <v>0</v>
      </c>
      <c r="AP65" s="156">
        <f t="shared" si="69"/>
        <v>0</v>
      </c>
      <c r="AQ65" s="156">
        <f t="shared" si="69"/>
        <v>0</v>
      </c>
      <c r="AR65" s="156">
        <f t="shared" si="69"/>
        <v>0</v>
      </c>
      <c r="AS65" s="156">
        <f t="shared" si="69"/>
        <v>0</v>
      </c>
      <c r="AT65" s="156">
        <f t="shared" si="69"/>
        <v>0</v>
      </c>
      <c r="AU65" s="156">
        <f t="shared" si="69"/>
        <v>0</v>
      </c>
      <c r="AV65" s="154">
        <f>AV$28*(Mtoe!AI72/Mtoe!AI$35)</f>
        <v>0</v>
      </c>
      <c r="AW65" s="154">
        <f>AW$28*(Mtoe!AJ72/Mtoe!AJ$35)</f>
        <v>0</v>
      </c>
      <c r="AX65" s="157">
        <f t="shared" si="74"/>
        <v>0</v>
      </c>
      <c r="AY65" s="142">
        <f ca="1" t="shared" si="70"/>
        <v>0</v>
      </c>
      <c r="AZ65" s="142" t="s">
        <v>94</v>
      </c>
      <c r="BA65" s="142"/>
      <c r="BB65" s="91"/>
    </row>
    <row r="66" spans="1:54" ht="12.75">
      <c r="A66" s="48" t="s">
        <v>44</v>
      </c>
      <c r="B66" s="49">
        <f>($C$4/B$4)*Mtoe!AA73*(B124*(100-B181)*C181/10)</f>
        <v>5.265820312499999</v>
      </c>
      <c r="C66" s="49">
        <f>($C$4/C$4)*Mtoe!AB73*(C124*(100-C181)/10)</f>
        <v>0</v>
      </c>
      <c r="D66" s="49">
        <f>($C$4/D$4)*Mtoe!AC73*(D124*(100-D181)/10)</f>
        <v>0.8805000000000001</v>
      </c>
      <c r="E66" s="56">
        <f>($C$4/E$4)*Mtoe!AD73*(E124*(100-E181)/10)</f>
        <v>0</v>
      </c>
      <c r="F66" s="56"/>
      <c r="G66" s="56"/>
      <c r="H66" s="56"/>
      <c r="I66" s="49">
        <f>($C$4/I$4)*Mtoe!AH73*(I124*(100-I181)*J181/10)</f>
        <v>1.3667857142857145</v>
      </c>
      <c r="J66" s="180"/>
      <c r="K66" s="59"/>
      <c r="L66" s="55">
        <f>SUM(B66:K66)</f>
        <v>7.513106026785713</v>
      </c>
      <c r="N66" s="49">
        <f>($C$4/B$4)*Mtoe!AA73*((130/32)*(N124*(100-N181)/10))</f>
        <v>85.569580078125</v>
      </c>
      <c r="O66" s="49">
        <f>($C$4/C$4)*Mtoe!AB73*((130/32)*(O124*(100-O181)/10))</f>
        <v>0</v>
      </c>
      <c r="P66" s="49">
        <f>($C$4/D$4)*Mtoe!AC73*((130/32)*(P124*(100-P181)/10))</f>
        <v>143.08124999999998</v>
      </c>
      <c r="Q66" s="56">
        <f>($C$4/E$4)*Mtoe!AD73*((130/32)*(Q124*(100-Q181)/10))</f>
        <v>0</v>
      </c>
      <c r="R66" s="56"/>
      <c r="S66" s="56"/>
      <c r="T66" s="56"/>
      <c r="U66" s="49">
        <f>($C$4/I$4)*Mtoe!AH73*((130/32)*(U124*(100-U181)/10))</f>
        <v>0</v>
      </c>
      <c r="V66" s="56"/>
      <c r="W66" s="59"/>
      <c r="X66" s="55">
        <f>SUM(N66:W66)</f>
        <v>228.65083007812498</v>
      </c>
      <c r="Z66" s="269">
        <f>Mtoe!AA73*(Z124*(100-Z181)/100000)</f>
        <v>2.8499999999999996</v>
      </c>
      <c r="AA66" s="269">
        <f>Mtoe!AB73*(AA124*(100-AA181)/100000)</f>
        <v>0</v>
      </c>
      <c r="AB66" s="269">
        <f>Mtoe!AC73*(AB124*(100-AB181)/100000)</f>
        <v>17.61</v>
      </c>
      <c r="AC66" s="269">
        <f>Mtoe!AD73*(AC124*(100-AC181)/100000)</f>
        <v>0.36600000000000005</v>
      </c>
      <c r="AD66" s="56">
        <f>Mtoe!AE73*(AD124*(100-AD181)/100000)</f>
        <v>0</v>
      </c>
      <c r="AE66" s="56">
        <f>Mtoe!AF73*(AE124*(100-AE181)/100000)</f>
        <v>0</v>
      </c>
      <c r="AF66" s="56">
        <f>Mtoe!AG73*(AF124*(100-AF181)/100000)</f>
        <v>0</v>
      </c>
      <c r="AG66" s="269">
        <f>Mtoe!AH73*(AG124*(100-AG181)/100000)</f>
        <v>4.45</v>
      </c>
      <c r="AH66" s="56">
        <f>Mtoe!AI73*(AH124*(100-AH181)/100000)</f>
        <v>0</v>
      </c>
      <c r="AI66" s="59"/>
      <c r="AJ66" s="55">
        <f>SUM(Z66:AI66)</f>
        <v>25.276</v>
      </c>
      <c r="AL66" s="26"/>
      <c r="AM66" s="168" t="s">
        <v>44</v>
      </c>
      <c r="AN66" s="709">
        <f t="shared" si="69"/>
        <v>93.68540039062499</v>
      </c>
      <c r="AO66" s="709">
        <f t="shared" si="69"/>
        <v>0</v>
      </c>
      <c r="AP66" s="709">
        <f t="shared" si="69"/>
        <v>161.57175</v>
      </c>
      <c r="AQ66" s="709">
        <f t="shared" si="69"/>
        <v>0.36600000000000005</v>
      </c>
      <c r="AR66" s="709">
        <f t="shared" si="69"/>
        <v>0</v>
      </c>
      <c r="AS66" s="709">
        <f t="shared" si="69"/>
        <v>0</v>
      </c>
      <c r="AT66" s="709">
        <f t="shared" si="69"/>
        <v>0</v>
      </c>
      <c r="AU66" s="709">
        <f t="shared" si="69"/>
        <v>5.8167857142857144</v>
      </c>
      <c r="AV66" s="154">
        <f>AV$28*(Mtoe!AI73/Mtoe!AI$35)</f>
        <v>173.0602198032203</v>
      </c>
      <c r="AW66" s="154">
        <f>AW$28*(Mtoe!AJ73/Mtoe!AJ$35)</f>
        <v>13.575463449061719</v>
      </c>
      <c r="AX66" s="157">
        <f>SUM(AN66:AW66)</f>
        <v>448.0756193571927</v>
      </c>
      <c r="AY66" s="712">
        <f ca="1" t="shared" si="70"/>
        <v>2.0533497127964946</v>
      </c>
      <c r="AZ66" s="712" t="s">
        <v>94</v>
      </c>
      <c r="BA66" s="712"/>
      <c r="BB66" s="91"/>
    </row>
    <row r="67" spans="1:54" ht="12.75">
      <c r="A67" s="48" t="s">
        <v>45</v>
      </c>
      <c r="B67" s="49">
        <f>($C$4/B$4)*Mtoe!AA74*(B125*(100-B182)*C182/10)</f>
        <v>0</v>
      </c>
      <c r="C67" s="49">
        <f>($C$4/C$4)*Mtoe!AB74*(C125*(100-C182)/10)</f>
        <v>0</v>
      </c>
      <c r="D67" s="49">
        <f>($C$4/D$4)*Mtoe!AC74*(D125*(100-D182)/10)</f>
        <v>0.074</v>
      </c>
      <c r="E67" s="49">
        <f>($C$4/E$4)*Mtoe!AD74*(E125*(100-E182)/10)</f>
        <v>0</v>
      </c>
      <c r="F67" s="49"/>
      <c r="G67" s="49"/>
      <c r="H67" s="49"/>
      <c r="I67" s="49">
        <f>($C$4/I$4)*Mtoe!AH74*(I125*(100-I182)*J182/10)</f>
        <v>0</v>
      </c>
      <c r="J67" s="180"/>
      <c r="K67" s="88"/>
      <c r="L67" s="55">
        <f>SUM(B67:K67)</f>
        <v>0.074</v>
      </c>
      <c r="N67" s="49">
        <f>($C$4/B$4)*Mtoe!AA74*((130/32)*(N125*(100-N182)/10))</f>
        <v>0</v>
      </c>
      <c r="O67" s="49">
        <f>($C$4/C$4)*Mtoe!AB74*((130/32)*(O125*(100-O182)/10))</f>
        <v>0</v>
      </c>
      <c r="P67" s="49">
        <f>($C$4/D$4)*Mtoe!AC74*((130/32)*(P125*(100-P182)/10))</f>
        <v>12.025</v>
      </c>
      <c r="Q67" s="49">
        <f>($C$4/E$4)*Mtoe!AD74*((130/32)*(Q125*(100-Q182)/10))</f>
        <v>0</v>
      </c>
      <c r="R67" s="49"/>
      <c r="S67" s="49"/>
      <c r="T67" s="49"/>
      <c r="U67" s="49">
        <f>($C$4/I$4)*Mtoe!AH74*((130/32)*(U125*(100-U182)/10))</f>
        <v>0</v>
      </c>
      <c r="V67" s="49"/>
      <c r="W67" s="88"/>
      <c r="X67" s="55">
        <f>SUM(N67:W67)</f>
        <v>12.025</v>
      </c>
      <c r="Z67" s="49">
        <f>Mtoe!AA74*(Z125*(100-Z182)/100000)</f>
        <v>0</v>
      </c>
      <c r="AA67" s="49">
        <f>Mtoe!AB74*(AA125*(100-AA182)/100000)</f>
        <v>0</v>
      </c>
      <c r="AB67" s="49">
        <f>Mtoe!AC74*(AB125*(100-AB182)/100000)</f>
        <v>1.48</v>
      </c>
      <c r="AC67" s="49">
        <f>Mtoe!AD74*(AC125*(100-AC182)/100000)</f>
        <v>0</v>
      </c>
      <c r="AD67" s="49">
        <f>Mtoe!AE74*(AD125*(100-AD182)/100000)</f>
        <v>0</v>
      </c>
      <c r="AE67" s="49">
        <f>Mtoe!AF74*(AE125*(100-AE182)/100000)</f>
        <v>0</v>
      </c>
      <c r="AF67" s="49">
        <f>Mtoe!AG74*(AF125*(100-AF182)/100000)</f>
        <v>0</v>
      </c>
      <c r="AG67" s="49">
        <f>Mtoe!AH74*(AG125*(100-AG182)/100000)</f>
        <v>0</v>
      </c>
      <c r="AH67" s="49">
        <f>Mtoe!AI74*(AH125*(100-AH182)/100000)</f>
        <v>0</v>
      </c>
      <c r="AI67" s="88"/>
      <c r="AJ67" s="55">
        <f>SUM(Z67:AI67)</f>
        <v>1.48</v>
      </c>
      <c r="AL67" s="26"/>
      <c r="AM67" s="168" t="s">
        <v>45</v>
      </c>
      <c r="AN67" s="154">
        <f t="shared" si="69"/>
        <v>0</v>
      </c>
      <c r="AO67" s="154">
        <f t="shared" si="69"/>
        <v>0</v>
      </c>
      <c r="AP67" s="154">
        <f t="shared" si="69"/>
        <v>13.579</v>
      </c>
      <c r="AQ67" s="154">
        <f t="shared" si="69"/>
        <v>0</v>
      </c>
      <c r="AR67" s="154">
        <f t="shared" si="69"/>
        <v>0</v>
      </c>
      <c r="AS67" s="154">
        <f t="shared" si="69"/>
        <v>0</v>
      </c>
      <c r="AT67" s="154">
        <f t="shared" si="69"/>
        <v>0</v>
      </c>
      <c r="AU67" s="154">
        <f t="shared" si="69"/>
        <v>0</v>
      </c>
      <c r="AV67" s="156">
        <f>AV$28*(Mtoe!AI74/Mtoe!AI$35)</f>
        <v>2.1062095716416267</v>
      </c>
      <c r="AW67" s="156">
        <f>AW$28*(Mtoe!AJ74/Mtoe!AJ$35)</f>
        <v>0.9362388585559808</v>
      </c>
      <c r="AX67" s="157">
        <f>SUM(AN67:AW67)</f>
        <v>16.621448430197606</v>
      </c>
      <c r="AY67" s="4">
        <f ca="1" t="shared" si="70"/>
        <v>0.07616938946459581</v>
      </c>
      <c r="AZ67" s="4" t="s">
        <v>94</v>
      </c>
      <c r="BA67" s="142"/>
      <c r="BB67" s="91"/>
    </row>
    <row r="68" spans="1:54" ht="12.75">
      <c r="A68" s="58" t="s">
        <v>35</v>
      </c>
      <c r="B68" s="58">
        <f>($C$4/B$4)*Mtoe!AA75*(B126*(100-B183)*C183/10)</f>
        <v>2.1248046875</v>
      </c>
      <c r="C68" s="58">
        <f>($C$4/C$4)*Mtoe!AB75*(C126*(100-C183)/10)</f>
        <v>0</v>
      </c>
      <c r="D68" s="58">
        <f>($C$4/D$4)*Mtoe!AC75*(D126*(100-D183)/10)</f>
        <v>0.047</v>
      </c>
      <c r="E68" s="58">
        <f>($C$4/E$4)*Mtoe!AD75*(E126*(100-E183)/10)</f>
        <v>0</v>
      </c>
      <c r="F68" s="58"/>
      <c r="G68" s="58"/>
      <c r="H68" s="58"/>
      <c r="I68" s="58">
        <f>($C$4/I$4)*Mtoe!AH75*(I126*(100-I183)*J183/10)</f>
        <v>0.01535714285714286</v>
      </c>
      <c r="J68" s="190"/>
      <c r="K68" s="90"/>
      <c r="L68" s="694">
        <f>SUM(B68:K68)</f>
        <v>2.187161830357143</v>
      </c>
      <c r="M68" s="203"/>
      <c r="N68" s="58">
        <f>($C$4/B$4)*Mtoe!AA75*((130/32)*(N126*(100-N183)/10))</f>
        <v>17.264038085937504</v>
      </c>
      <c r="O68" s="58">
        <f>($C$4/C$4)*Mtoe!AB75*((130/32)*(O126*(100-O183)/10))</f>
        <v>0</v>
      </c>
      <c r="P68" s="58">
        <f>($C$4/D$4)*Mtoe!AC75*((130/32)*(P126*(100-P183)/10))</f>
        <v>7.637499999999999</v>
      </c>
      <c r="Q68" s="58">
        <f>($C$4/E$4)*Mtoe!AD75*((130/32)*(Q126*(100-Q183)/10))</f>
        <v>0</v>
      </c>
      <c r="R68" s="58"/>
      <c r="S68" s="58"/>
      <c r="T68" s="58"/>
      <c r="U68" s="58">
        <f>($C$4/I$4)*Mtoe!AH75*((130/32)*(U126*(100-U183)/10))</f>
        <v>0</v>
      </c>
      <c r="V68" s="58"/>
      <c r="W68" s="90"/>
      <c r="X68" s="694">
        <f>SUM(N68:W68)</f>
        <v>24.901538085937503</v>
      </c>
      <c r="Y68" s="203"/>
      <c r="Z68" s="58">
        <f>Mtoe!AA75*(Z126*(100-Z183)/100000)</f>
        <v>0.5750000000000001</v>
      </c>
      <c r="AA68" s="58">
        <f>Mtoe!AB75*(AA126*(100-AA183)/100000)</f>
        <v>0</v>
      </c>
      <c r="AB68" s="58">
        <f>Mtoe!AC75*(AB126*(100-AB183)/100000)</f>
        <v>0.94</v>
      </c>
      <c r="AC68" s="58">
        <f>Mtoe!AD75*(AC126*(100-AC183)/100000)</f>
        <v>0.843</v>
      </c>
      <c r="AD68" s="58">
        <f>Mtoe!AE75*(AD126*(100-AD183)/100000)</f>
        <v>0</v>
      </c>
      <c r="AE68" s="58">
        <f>Mtoe!AF75*(AE126*(100-AE183)/100000)</f>
        <v>0</v>
      </c>
      <c r="AF68" s="58">
        <f>Mtoe!AG75*(AF126*(100-AF183)/100000)</f>
        <v>0</v>
      </c>
      <c r="AG68" s="58">
        <f>Mtoe!AH75*(AG126*(100-AG183)/100000)</f>
        <v>0.025</v>
      </c>
      <c r="AH68" s="58">
        <f>Mtoe!AI75*(AH126*(100-AH183)/100000)</f>
        <v>0</v>
      </c>
      <c r="AI68" s="90"/>
      <c r="AJ68" s="694">
        <f>SUM(Z68:AI68)</f>
        <v>2.383</v>
      </c>
      <c r="AK68" s="203"/>
      <c r="AL68" s="203"/>
      <c r="AM68" s="708" t="s">
        <v>35</v>
      </c>
      <c r="AN68" s="161">
        <f t="shared" si="69"/>
        <v>19.963842773437502</v>
      </c>
      <c r="AO68" s="161">
        <f t="shared" si="69"/>
        <v>0</v>
      </c>
      <c r="AP68" s="161">
        <f t="shared" si="69"/>
        <v>8.6245</v>
      </c>
      <c r="AQ68" s="161">
        <f t="shared" si="69"/>
        <v>0.843</v>
      </c>
      <c r="AR68" s="161">
        <f t="shared" si="69"/>
        <v>0</v>
      </c>
      <c r="AS68" s="161">
        <f t="shared" si="69"/>
        <v>0</v>
      </c>
      <c r="AT68" s="161">
        <f t="shared" si="69"/>
        <v>0</v>
      </c>
      <c r="AU68" s="161">
        <f t="shared" si="69"/>
        <v>0.04035714285714286</v>
      </c>
      <c r="AV68" s="161">
        <f>AV$28*(Mtoe!AI75/Mtoe!AI$35)</f>
        <v>19.657956001988516</v>
      </c>
      <c r="AW68" s="161">
        <f>AW$28*(Mtoe!AJ75/Mtoe!AJ$35)</f>
        <v>226.5698037705473</v>
      </c>
      <c r="AX68" s="162">
        <f>SUM(AN68:AW68)</f>
        <v>275.6994596888305</v>
      </c>
      <c r="AY68" s="693">
        <f ca="1" t="shared" si="70"/>
        <v>1.263419346900293</v>
      </c>
      <c r="AZ68" s="693" t="s">
        <v>94</v>
      </c>
      <c r="BA68" s="142"/>
      <c r="BB68" s="91"/>
    </row>
    <row r="69" spans="1:54" ht="15.75">
      <c r="A69" s="64"/>
      <c r="B69" s="64"/>
      <c r="C69" s="65"/>
      <c r="D69" s="64"/>
      <c r="E69" s="64"/>
      <c r="F69" s="64"/>
      <c r="G69" s="64"/>
      <c r="H69" s="64"/>
      <c r="I69" s="64"/>
      <c r="J69" s="64"/>
      <c r="K69" s="64"/>
      <c r="L69" s="12"/>
      <c r="N69" s="25"/>
      <c r="O69" s="25"/>
      <c r="P69" s="25"/>
      <c r="Q69" s="25"/>
      <c r="R69" s="25"/>
      <c r="S69" s="25"/>
      <c r="T69" s="25"/>
      <c r="U69" s="25"/>
      <c r="V69" s="25"/>
      <c r="W69" s="25"/>
      <c r="X69" s="25"/>
      <c r="Z69" s="25"/>
      <c r="AA69" s="25"/>
      <c r="AB69" s="25"/>
      <c r="AC69" s="25"/>
      <c r="AD69" s="25"/>
      <c r="AE69" s="25"/>
      <c r="AF69" s="25"/>
      <c r="AG69" s="25"/>
      <c r="AH69" s="25"/>
      <c r="AI69" s="25"/>
      <c r="AJ69" s="25"/>
      <c r="AL69" s="25"/>
      <c r="AY69" s="146">
        <f ca="1">AY28+AY30+AY44+AY61</f>
        <v>100.00000000000001</v>
      </c>
      <c r="AZ69" s="146" t="s">
        <v>94</v>
      </c>
      <c r="BA69" s="933"/>
      <c r="BB69" s="713"/>
    </row>
    <row r="70" spans="1:38" ht="16.5" thickBot="1">
      <c r="A70" s="185"/>
      <c r="B70" s="191" t="s">
        <v>110</v>
      </c>
      <c r="C70" s="179"/>
      <c r="D70" s="179"/>
      <c r="E70" s="179"/>
      <c r="F70" s="179"/>
      <c r="G70" s="179"/>
      <c r="H70" s="179"/>
      <c r="I70" s="179"/>
      <c r="J70" s="178"/>
      <c r="K70" s="178"/>
      <c r="L70" s="179"/>
      <c r="M70" s="184"/>
      <c r="N70" s="193" t="s">
        <v>111</v>
      </c>
      <c r="O70" s="178"/>
      <c r="P70" s="178"/>
      <c r="Q70" s="178"/>
      <c r="R70" s="178"/>
      <c r="S70" s="178"/>
      <c r="T70" s="178"/>
      <c r="U70" s="178"/>
      <c r="V70" s="178"/>
      <c r="W70" s="178"/>
      <c r="X70" s="178"/>
      <c r="Z70" s="191" t="s">
        <v>124</v>
      </c>
      <c r="AA70" s="179"/>
      <c r="AB70" s="179"/>
      <c r="AC70" s="179"/>
      <c r="AD70" s="179"/>
      <c r="AE70" s="179"/>
      <c r="AF70" s="179"/>
      <c r="AG70" s="179"/>
      <c r="AH70" s="178"/>
      <c r="AI70" s="178"/>
      <c r="AJ70" s="179"/>
      <c r="AL70" s="25"/>
    </row>
    <row r="71" spans="1:38" ht="16.5" thickBot="1">
      <c r="A71" s="230" t="s">
        <v>112</v>
      </c>
      <c r="B71" s="176"/>
      <c r="C71" s="176"/>
      <c r="D71" s="176"/>
      <c r="E71" s="176"/>
      <c r="F71" s="176"/>
      <c r="G71" s="176"/>
      <c r="H71" s="176"/>
      <c r="I71" s="176"/>
      <c r="J71" s="176"/>
      <c r="K71" s="176"/>
      <c r="L71" s="183"/>
      <c r="M71" s="184"/>
      <c r="N71" s="176"/>
      <c r="O71" s="176"/>
      <c r="P71" s="176"/>
      <c r="Q71" s="176"/>
      <c r="R71" s="176"/>
      <c r="S71" s="176"/>
      <c r="T71" s="176"/>
      <c r="U71" s="176"/>
      <c r="V71" s="176"/>
      <c r="W71" s="176"/>
      <c r="X71" s="176"/>
      <c r="Z71" s="176"/>
      <c r="AA71" s="176"/>
      <c r="AB71" s="176"/>
      <c r="AC71" s="176"/>
      <c r="AD71" s="176"/>
      <c r="AE71" s="176"/>
      <c r="AF71" s="176"/>
      <c r="AG71" s="176"/>
      <c r="AH71" s="176"/>
      <c r="AI71" s="176"/>
      <c r="AJ71" s="183"/>
      <c r="AL71" s="25"/>
    </row>
    <row r="72" spans="1:38" ht="15">
      <c r="A72" s="231" t="s">
        <v>9</v>
      </c>
      <c r="B72" s="176"/>
      <c r="C72" s="176"/>
      <c r="D72" s="176"/>
      <c r="E72" s="176"/>
      <c r="F72" s="176"/>
      <c r="G72" s="176"/>
      <c r="H72" s="176"/>
      <c r="I72" s="176"/>
      <c r="J72" s="176"/>
      <c r="K72" s="176"/>
      <c r="L72" s="183"/>
      <c r="M72" s="184"/>
      <c r="N72" s="176"/>
      <c r="O72" s="176"/>
      <c r="P72" s="176"/>
      <c r="Q72" s="176"/>
      <c r="R72" s="176"/>
      <c r="S72" s="176"/>
      <c r="T72" s="176"/>
      <c r="U72" s="176"/>
      <c r="V72" s="176"/>
      <c r="W72" s="176"/>
      <c r="X72" s="176"/>
      <c r="Z72" s="176"/>
      <c r="AA72" s="176"/>
      <c r="AB72" s="176"/>
      <c r="AC72" s="176"/>
      <c r="AD72" s="176"/>
      <c r="AE72" s="176"/>
      <c r="AF72" s="176"/>
      <c r="AG72" s="176"/>
      <c r="AH72" s="176"/>
      <c r="AI72" s="176"/>
      <c r="AJ72" s="183"/>
      <c r="AL72" s="25"/>
    </row>
    <row r="73" spans="1:38" ht="15">
      <c r="A73" s="231" t="s">
        <v>13</v>
      </c>
      <c r="B73" s="176"/>
      <c r="C73" s="176"/>
      <c r="D73" s="176"/>
      <c r="E73" s="176"/>
      <c r="F73" s="176"/>
      <c r="G73" s="176"/>
      <c r="H73" s="176"/>
      <c r="I73" s="176"/>
      <c r="J73" s="176"/>
      <c r="K73" s="176"/>
      <c r="L73" s="183"/>
      <c r="M73" s="184"/>
      <c r="N73" s="176"/>
      <c r="O73" s="176"/>
      <c r="P73" s="176"/>
      <c r="Q73" s="176"/>
      <c r="R73" s="176"/>
      <c r="S73" s="176"/>
      <c r="T73" s="176"/>
      <c r="U73" s="176"/>
      <c r="V73" s="176"/>
      <c r="W73" s="176"/>
      <c r="X73" s="176"/>
      <c r="Z73" s="176"/>
      <c r="AA73" s="176"/>
      <c r="AB73" s="176"/>
      <c r="AC73" s="176"/>
      <c r="AD73" s="176"/>
      <c r="AE73" s="176"/>
      <c r="AF73" s="176"/>
      <c r="AG73" s="176"/>
      <c r="AH73" s="176"/>
      <c r="AI73" s="176"/>
      <c r="AJ73" s="183"/>
      <c r="AL73" s="25"/>
    </row>
    <row r="74" spans="1:38" ht="15">
      <c r="A74" s="231" t="s">
        <v>10</v>
      </c>
      <c r="B74" s="175">
        <v>11</v>
      </c>
      <c r="C74" s="175">
        <v>0.4</v>
      </c>
      <c r="D74" s="796">
        <v>0.04</v>
      </c>
      <c r="E74" s="175">
        <v>0</v>
      </c>
      <c r="F74" s="176"/>
      <c r="G74" s="176"/>
      <c r="H74" s="176"/>
      <c r="I74" s="174">
        <v>0.5</v>
      </c>
      <c r="J74" s="176"/>
      <c r="K74" s="176"/>
      <c r="L74" s="176"/>
      <c r="N74" s="174">
        <v>1.1</v>
      </c>
      <c r="O74" s="174">
        <v>2.5</v>
      </c>
      <c r="P74" s="174">
        <v>1.5</v>
      </c>
      <c r="Q74" s="174">
        <v>0</v>
      </c>
      <c r="R74" s="176"/>
      <c r="S74" s="176"/>
      <c r="T74" s="176"/>
      <c r="U74" s="174">
        <v>0</v>
      </c>
      <c r="V74" s="176"/>
      <c r="W74" s="176"/>
      <c r="X74" s="176"/>
      <c r="Z74" s="671">
        <v>260</v>
      </c>
      <c r="AA74" s="671">
        <v>0</v>
      </c>
      <c r="AB74" s="671">
        <v>300</v>
      </c>
      <c r="AC74" s="671">
        <v>170</v>
      </c>
      <c r="AD74" s="672"/>
      <c r="AE74" s="672"/>
      <c r="AF74" s="672"/>
      <c r="AG74" s="673">
        <v>300</v>
      </c>
      <c r="AH74" s="176"/>
      <c r="AI74" s="176"/>
      <c r="AJ74" s="176"/>
      <c r="AL74" s="25"/>
    </row>
    <row r="75" spans="1:46" ht="15">
      <c r="A75" s="231" t="s">
        <v>11</v>
      </c>
      <c r="B75" s="175">
        <v>11</v>
      </c>
      <c r="C75" s="175">
        <v>0.4</v>
      </c>
      <c r="D75" s="796">
        <v>0.04</v>
      </c>
      <c r="E75" s="175">
        <v>0</v>
      </c>
      <c r="F75" s="176"/>
      <c r="G75" s="176"/>
      <c r="H75" s="176"/>
      <c r="I75" s="174">
        <v>0.5</v>
      </c>
      <c r="J75" s="176"/>
      <c r="K75" s="176"/>
      <c r="L75" s="176"/>
      <c r="N75" s="174">
        <v>1.1</v>
      </c>
      <c r="O75" s="174">
        <v>2.5</v>
      </c>
      <c r="P75" s="174">
        <v>1.5</v>
      </c>
      <c r="Q75" s="174">
        <v>0</v>
      </c>
      <c r="R75" s="176"/>
      <c r="S75" s="176"/>
      <c r="T75" s="176"/>
      <c r="U75" s="174">
        <v>0</v>
      </c>
      <c r="V75" s="176"/>
      <c r="W75" s="176"/>
      <c r="X75" s="176"/>
      <c r="Z75" s="671">
        <v>610</v>
      </c>
      <c r="AA75" s="671">
        <v>0</v>
      </c>
      <c r="AB75" s="671">
        <v>400</v>
      </c>
      <c r="AC75" s="671">
        <v>240</v>
      </c>
      <c r="AD75" s="672"/>
      <c r="AE75" s="672"/>
      <c r="AF75" s="672"/>
      <c r="AG75" s="673">
        <v>800</v>
      </c>
      <c r="AH75" s="176"/>
      <c r="AI75" s="176"/>
      <c r="AJ75" s="176"/>
      <c r="AL75" s="25"/>
      <c r="AT75" s="25"/>
    </row>
    <row r="76" spans="1:46" ht="15">
      <c r="A76" s="231" t="s">
        <v>12</v>
      </c>
      <c r="B76" s="175">
        <v>11</v>
      </c>
      <c r="C76" s="175">
        <v>0.4</v>
      </c>
      <c r="D76" s="796">
        <v>0.04</v>
      </c>
      <c r="E76" s="175">
        <v>0</v>
      </c>
      <c r="F76" s="176"/>
      <c r="G76" s="176"/>
      <c r="H76" s="176"/>
      <c r="I76" s="174">
        <v>0.5</v>
      </c>
      <c r="J76" s="176"/>
      <c r="K76" s="176"/>
      <c r="L76" s="176"/>
      <c r="N76" s="174">
        <v>1.1</v>
      </c>
      <c r="O76" s="174">
        <v>2.5</v>
      </c>
      <c r="P76" s="174">
        <v>1.5</v>
      </c>
      <c r="Q76" s="174">
        <v>0</v>
      </c>
      <c r="R76" s="176"/>
      <c r="S76" s="176"/>
      <c r="T76" s="176"/>
      <c r="U76" s="174">
        <v>0</v>
      </c>
      <c r="V76" s="176"/>
      <c r="W76" s="176"/>
      <c r="X76" s="176"/>
      <c r="Z76" s="671">
        <v>1000</v>
      </c>
      <c r="AA76" s="671">
        <v>0</v>
      </c>
      <c r="AB76" s="671">
        <v>600</v>
      </c>
      <c r="AC76" s="671">
        <v>400</v>
      </c>
      <c r="AD76" s="672"/>
      <c r="AE76" s="672"/>
      <c r="AF76" s="672"/>
      <c r="AG76" s="673">
        <v>3000</v>
      </c>
      <c r="AH76" s="176"/>
      <c r="AI76" s="176"/>
      <c r="AJ76" s="176"/>
      <c r="AL76" s="25"/>
      <c r="AT76" s="25"/>
    </row>
    <row r="77" spans="1:46" ht="15">
      <c r="A77" s="247" t="s">
        <v>229</v>
      </c>
      <c r="B77" s="175">
        <v>11</v>
      </c>
      <c r="C77" s="175">
        <v>0.4</v>
      </c>
      <c r="D77" s="796">
        <v>0.04</v>
      </c>
      <c r="E77" s="175"/>
      <c r="F77" s="176"/>
      <c r="G77" s="176"/>
      <c r="H77" s="176"/>
      <c r="I77" s="174">
        <v>0.5</v>
      </c>
      <c r="J77" s="176"/>
      <c r="K77" s="176"/>
      <c r="L77" s="176"/>
      <c r="N77" s="698">
        <v>1.1</v>
      </c>
      <c r="O77" s="174">
        <v>2.5</v>
      </c>
      <c r="P77" s="174">
        <v>1.5</v>
      </c>
      <c r="Q77" s="174"/>
      <c r="R77" s="176"/>
      <c r="S77" s="176"/>
      <c r="T77" s="176"/>
      <c r="U77" s="174">
        <v>0</v>
      </c>
      <c r="V77" s="176"/>
      <c r="W77" s="176"/>
      <c r="X77" s="176"/>
      <c r="Z77" s="671">
        <v>3000</v>
      </c>
      <c r="AA77" s="671"/>
      <c r="AB77" s="671"/>
      <c r="AC77" s="671"/>
      <c r="AD77" s="672"/>
      <c r="AE77" s="672"/>
      <c r="AF77" s="672"/>
      <c r="AG77" s="673"/>
      <c r="AH77" s="176"/>
      <c r="AI77" s="176"/>
      <c r="AJ77" s="176"/>
      <c r="AL77" s="25"/>
      <c r="AT77" s="25"/>
    </row>
    <row r="78" spans="1:38" ht="15">
      <c r="A78" s="231" t="s">
        <v>14</v>
      </c>
      <c r="B78" s="175">
        <v>11</v>
      </c>
      <c r="C78" s="175">
        <v>0.4</v>
      </c>
      <c r="D78" s="796">
        <v>0.04</v>
      </c>
      <c r="E78" s="175">
        <v>0</v>
      </c>
      <c r="F78" s="176"/>
      <c r="G78" s="176"/>
      <c r="H78" s="176"/>
      <c r="I78" s="174">
        <v>0.5</v>
      </c>
      <c r="J78" s="176"/>
      <c r="K78" s="176"/>
      <c r="L78" s="176"/>
      <c r="N78" s="174">
        <v>1.1</v>
      </c>
      <c r="O78" s="174">
        <v>2.5</v>
      </c>
      <c r="P78" s="174">
        <v>1.5</v>
      </c>
      <c r="Q78" s="174">
        <v>0</v>
      </c>
      <c r="R78" s="176"/>
      <c r="S78" s="176"/>
      <c r="T78" s="176"/>
      <c r="U78" s="174">
        <v>0</v>
      </c>
      <c r="V78" s="176"/>
      <c r="W78" s="176"/>
      <c r="X78" s="176"/>
      <c r="Z78" s="671">
        <v>3000</v>
      </c>
      <c r="AA78" s="671">
        <v>1000</v>
      </c>
      <c r="AB78" s="671">
        <v>0</v>
      </c>
      <c r="AC78" s="671">
        <v>100</v>
      </c>
      <c r="AD78" s="672"/>
      <c r="AE78" s="672"/>
      <c r="AF78" s="672"/>
      <c r="AG78" s="673">
        <v>0</v>
      </c>
      <c r="AH78" s="176"/>
      <c r="AI78" s="176"/>
      <c r="AJ78" s="176"/>
      <c r="AL78" s="25"/>
    </row>
    <row r="79" spans="1:38" ht="15">
      <c r="A79" s="697" t="s">
        <v>232</v>
      </c>
      <c r="B79" s="175">
        <v>11</v>
      </c>
      <c r="C79" s="175">
        <v>0.4</v>
      </c>
      <c r="D79" s="796">
        <v>0.04</v>
      </c>
      <c r="E79" s="175">
        <v>0</v>
      </c>
      <c r="F79" s="176"/>
      <c r="G79" s="176"/>
      <c r="H79" s="176"/>
      <c r="I79" s="174">
        <v>0.5</v>
      </c>
      <c r="J79" s="176"/>
      <c r="K79" s="176"/>
      <c r="L79" s="176"/>
      <c r="N79" s="174">
        <v>1.1</v>
      </c>
      <c r="O79" s="174">
        <v>2.5</v>
      </c>
      <c r="P79" s="174">
        <v>1.5</v>
      </c>
      <c r="Q79" s="174">
        <v>0</v>
      </c>
      <c r="R79" s="176"/>
      <c r="S79" s="176"/>
      <c r="T79" s="176"/>
      <c r="U79" s="174">
        <v>0</v>
      </c>
      <c r="V79" s="176"/>
      <c r="W79" s="176"/>
      <c r="X79" s="176"/>
      <c r="Z79" s="671"/>
      <c r="AA79" s="671">
        <v>400</v>
      </c>
      <c r="AB79" s="671">
        <v>200</v>
      </c>
      <c r="AC79" s="674">
        <v>100</v>
      </c>
      <c r="AD79" s="672"/>
      <c r="AE79" s="672"/>
      <c r="AF79" s="672"/>
      <c r="AG79" s="673">
        <v>0</v>
      </c>
      <c r="AH79" s="176"/>
      <c r="AI79" s="176"/>
      <c r="AJ79" s="176"/>
      <c r="AL79" s="25"/>
    </row>
    <row r="80" spans="1:38" ht="15">
      <c r="A80" s="212" t="s">
        <v>233</v>
      </c>
      <c r="B80" s="175">
        <v>11</v>
      </c>
      <c r="C80" s="175">
        <v>0.4</v>
      </c>
      <c r="D80" s="796">
        <v>0.04</v>
      </c>
      <c r="E80" s="175"/>
      <c r="F80" s="176"/>
      <c r="G80" s="176"/>
      <c r="H80" s="176"/>
      <c r="I80" s="174">
        <v>0.5</v>
      </c>
      <c r="J80" s="176"/>
      <c r="K80" s="176"/>
      <c r="L80" s="176"/>
      <c r="N80" s="174">
        <v>1.1</v>
      </c>
      <c r="O80" s="174">
        <v>2.5</v>
      </c>
      <c r="P80" s="174">
        <v>1.5</v>
      </c>
      <c r="Q80" s="174"/>
      <c r="R80" s="176"/>
      <c r="S80" s="176"/>
      <c r="T80" s="176"/>
      <c r="U80" s="174">
        <v>0</v>
      </c>
      <c r="V80" s="176"/>
      <c r="W80" s="176"/>
      <c r="X80" s="176"/>
      <c r="Z80" s="671">
        <v>1000</v>
      </c>
      <c r="AA80" s="671">
        <v>300</v>
      </c>
      <c r="AB80" s="671"/>
      <c r="AC80" s="674"/>
      <c r="AD80" s="672"/>
      <c r="AE80" s="672"/>
      <c r="AF80" s="672"/>
      <c r="AG80" s="673"/>
      <c r="AH80" s="176"/>
      <c r="AI80" s="176"/>
      <c r="AJ80" s="176"/>
      <c r="AL80" s="25"/>
    </row>
    <row r="81" spans="1:38" ht="15">
      <c r="A81" s="212" t="s">
        <v>231</v>
      </c>
      <c r="B81" s="175">
        <v>11</v>
      </c>
      <c r="C81" s="175">
        <v>0.4</v>
      </c>
      <c r="D81" s="796">
        <v>0.04</v>
      </c>
      <c r="E81" s="175">
        <v>0</v>
      </c>
      <c r="F81" s="176"/>
      <c r="G81" s="176"/>
      <c r="H81" s="176"/>
      <c r="I81" s="174">
        <v>0.5</v>
      </c>
      <c r="J81" s="176"/>
      <c r="K81" s="176"/>
      <c r="L81" s="176"/>
      <c r="N81" s="174">
        <v>1.1</v>
      </c>
      <c r="O81" s="174">
        <v>2.5</v>
      </c>
      <c r="P81" s="174">
        <v>1.5</v>
      </c>
      <c r="Q81" s="174">
        <v>0</v>
      </c>
      <c r="R81" s="176"/>
      <c r="S81" s="176"/>
      <c r="T81" s="176"/>
      <c r="U81" s="174">
        <v>0</v>
      </c>
      <c r="V81" s="176"/>
      <c r="W81" s="176"/>
      <c r="X81" s="176"/>
      <c r="Z81" s="671">
        <v>600</v>
      </c>
      <c r="AA81" s="671">
        <v>0</v>
      </c>
      <c r="AB81" s="671">
        <v>0</v>
      </c>
      <c r="AC81" s="671">
        <v>0</v>
      </c>
      <c r="AD81" s="672"/>
      <c r="AE81" s="672"/>
      <c r="AF81" s="672"/>
      <c r="AG81" s="673">
        <v>0</v>
      </c>
      <c r="AH81" s="176"/>
      <c r="AI81" s="176"/>
      <c r="AJ81" s="176"/>
      <c r="AL81" s="25"/>
    </row>
    <row r="82" spans="1:38" ht="15">
      <c r="A82" s="231" t="s">
        <v>17</v>
      </c>
      <c r="B82" s="175">
        <v>11</v>
      </c>
      <c r="C82" s="175">
        <v>0.4</v>
      </c>
      <c r="D82" s="796">
        <v>0.04</v>
      </c>
      <c r="E82" s="175">
        <v>0</v>
      </c>
      <c r="F82" s="176"/>
      <c r="G82" s="176"/>
      <c r="H82" s="176"/>
      <c r="I82" s="174">
        <v>0.5</v>
      </c>
      <c r="J82" s="176"/>
      <c r="K82" s="176"/>
      <c r="L82" s="176"/>
      <c r="N82" s="174">
        <v>1.1</v>
      </c>
      <c r="O82" s="174">
        <v>2.5</v>
      </c>
      <c r="P82" s="174">
        <v>1.5</v>
      </c>
      <c r="Q82" s="174">
        <v>0</v>
      </c>
      <c r="R82" s="176"/>
      <c r="S82" s="176"/>
      <c r="T82" s="176"/>
      <c r="U82" s="174">
        <v>0</v>
      </c>
      <c r="V82" s="176"/>
      <c r="W82" s="176"/>
      <c r="X82" s="176"/>
      <c r="Z82" s="671">
        <v>600</v>
      </c>
      <c r="AA82" s="671">
        <v>0</v>
      </c>
      <c r="AB82" s="671">
        <v>0</v>
      </c>
      <c r="AC82" s="671">
        <v>0</v>
      </c>
      <c r="AD82" s="672"/>
      <c r="AE82" s="672"/>
      <c r="AF82" s="672"/>
      <c r="AG82" s="673">
        <v>0</v>
      </c>
      <c r="AH82" s="176"/>
      <c r="AI82" s="176"/>
      <c r="AJ82" s="176"/>
      <c r="AL82" s="25"/>
    </row>
    <row r="83" spans="1:36" ht="15">
      <c r="A83" s="231" t="s">
        <v>18</v>
      </c>
      <c r="B83" s="175">
        <v>11</v>
      </c>
      <c r="C83" s="175">
        <v>0.4</v>
      </c>
      <c r="D83" s="796">
        <v>0.04</v>
      </c>
      <c r="E83" s="175">
        <v>0</v>
      </c>
      <c r="F83" s="176"/>
      <c r="G83" s="176"/>
      <c r="H83" s="176"/>
      <c r="I83" s="174">
        <v>0.5</v>
      </c>
      <c r="J83" s="176"/>
      <c r="K83" s="176"/>
      <c r="L83" s="176"/>
      <c r="N83" s="174">
        <v>1.1</v>
      </c>
      <c r="O83" s="174">
        <v>2.5</v>
      </c>
      <c r="P83" s="174">
        <v>1.5</v>
      </c>
      <c r="Q83" s="174">
        <v>0</v>
      </c>
      <c r="R83" s="176"/>
      <c r="S83" s="176"/>
      <c r="T83" s="176"/>
      <c r="U83" s="174">
        <v>0</v>
      </c>
      <c r="V83" s="176"/>
      <c r="W83" s="176"/>
      <c r="X83" s="176"/>
      <c r="Z83" s="671">
        <v>0</v>
      </c>
      <c r="AA83" s="671">
        <v>0</v>
      </c>
      <c r="AB83" s="671">
        <v>400</v>
      </c>
      <c r="AC83" s="671">
        <v>0</v>
      </c>
      <c r="AD83" s="672"/>
      <c r="AE83" s="672"/>
      <c r="AF83" s="672"/>
      <c r="AG83" s="673">
        <v>0</v>
      </c>
      <c r="AH83" s="176"/>
      <c r="AI83" s="176"/>
      <c r="AJ83" s="176"/>
    </row>
    <row r="84" spans="1:36" ht="15">
      <c r="A84" s="697" t="s">
        <v>234</v>
      </c>
      <c r="B84" s="175">
        <v>11</v>
      </c>
      <c r="C84" s="175">
        <v>0.4</v>
      </c>
      <c r="D84" s="796">
        <v>0.04</v>
      </c>
      <c r="E84" s="175">
        <v>0</v>
      </c>
      <c r="F84" s="176"/>
      <c r="G84" s="176"/>
      <c r="H84" s="176"/>
      <c r="I84" s="174">
        <v>0.5</v>
      </c>
      <c r="J84" s="176"/>
      <c r="K84" s="176"/>
      <c r="L84" s="176"/>
      <c r="N84" s="174">
        <v>1.1</v>
      </c>
      <c r="O84" s="174">
        <v>2.5</v>
      </c>
      <c r="P84" s="174">
        <v>1.5</v>
      </c>
      <c r="Q84" s="174">
        <v>0</v>
      </c>
      <c r="R84" s="176"/>
      <c r="S84" s="176"/>
      <c r="T84" s="176"/>
      <c r="U84" s="174">
        <v>0</v>
      </c>
      <c r="V84" s="176"/>
      <c r="W84" s="176"/>
      <c r="X84" s="176"/>
      <c r="Z84" s="671">
        <v>610</v>
      </c>
      <c r="AA84" s="671">
        <v>0</v>
      </c>
      <c r="AB84" s="671">
        <v>400</v>
      </c>
      <c r="AC84" s="671">
        <v>240</v>
      </c>
      <c r="AD84" s="672"/>
      <c r="AE84" s="672"/>
      <c r="AF84" s="672"/>
      <c r="AG84" s="673">
        <v>800</v>
      </c>
      <c r="AH84" s="176"/>
      <c r="AI84" s="176"/>
      <c r="AJ84" s="176"/>
    </row>
    <row r="85" spans="1:36" ht="15">
      <c r="A85" s="697" t="s">
        <v>235</v>
      </c>
      <c r="B85" s="176"/>
      <c r="C85" s="176"/>
      <c r="D85" s="762"/>
      <c r="E85" s="176"/>
      <c r="F85" s="176"/>
      <c r="G85" s="176"/>
      <c r="H85" s="176"/>
      <c r="I85" s="176"/>
      <c r="J85" s="176"/>
      <c r="K85" s="176"/>
      <c r="L85" s="176"/>
      <c r="N85" s="176"/>
      <c r="O85" s="176"/>
      <c r="P85" s="176"/>
      <c r="Q85" s="176"/>
      <c r="R85" s="176"/>
      <c r="S85" s="176"/>
      <c r="T85" s="176"/>
      <c r="U85" s="176"/>
      <c r="V85" s="176"/>
      <c r="W85" s="176"/>
      <c r="X85" s="176"/>
      <c r="Z85" s="672"/>
      <c r="AA85" s="672"/>
      <c r="AB85" s="672"/>
      <c r="AC85" s="672"/>
      <c r="AD85" s="672"/>
      <c r="AE85" s="672"/>
      <c r="AF85" s="672"/>
      <c r="AG85" s="672"/>
      <c r="AH85" s="176"/>
      <c r="AI85" s="176"/>
      <c r="AJ85" s="176"/>
    </row>
    <row r="86" spans="1:36" ht="15">
      <c r="A86" s="232"/>
      <c r="B86" s="176"/>
      <c r="C86" s="176"/>
      <c r="D86" s="762"/>
      <c r="E86" s="176"/>
      <c r="F86" s="176"/>
      <c r="G86" s="176"/>
      <c r="H86" s="176"/>
      <c r="I86" s="176"/>
      <c r="J86" s="176"/>
      <c r="K86" s="176"/>
      <c r="L86" s="176"/>
      <c r="N86" s="176"/>
      <c r="O86" s="176"/>
      <c r="P86" s="176"/>
      <c r="Q86" s="176"/>
      <c r="R86" s="176"/>
      <c r="S86" s="176"/>
      <c r="T86" s="176"/>
      <c r="U86" s="176"/>
      <c r="V86" s="176"/>
      <c r="W86" s="176"/>
      <c r="X86" s="176"/>
      <c r="Z86" s="672"/>
      <c r="AA86" s="672"/>
      <c r="AB86" s="672"/>
      <c r="AC86" s="672"/>
      <c r="AD86" s="672"/>
      <c r="AE86" s="672"/>
      <c r="AF86" s="672"/>
      <c r="AG86" s="672"/>
      <c r="AH86" s="176"/>
      <c r="AI86" s="176"/>
      <c r="AJ86" s="176"/>
    </row>
    <row r="87" spans="1:36" ht="16.5" thickBot="1">
      <c r="A87" s="233" t="s">
        <v>21</v>
      </c>
      <c r="B87" s="176"/>
      <c r="C87" s="176"/>
      <c r="D87" s="762"/>
      <c r="E87" s="176"/>
      <c r="F87" s="176"/>
      <c r="G87" s="176"/>
      <c r="H87" s="176"/>
      <c r="I87" s="176"/>
      <c r="J87" s="176"/>
      <c r="K87" s="176"/>
      <c r="L87" s="176"/>
      <c r="N87" s="176"/>
      <c r="O87" s="176"/>
      <c r="P87" s="176"/>
      <c r="Q87" s="176"/>
      <c r="R87" s="176"/>
      <c r="S87" s="176"/>
      <c r="T87" s="176"/>
      <c r="U87" s="176"/>
      <c r="V87" s="176"/>
      <c r="W87" s="176"/>
      <c r="X87" s="176"/>
      <c r="Z87" s="672"/>
      <c r="AA87" s="672"/>
      <c r="AB87" s="672"/>
      <c r="AC87" s="672"/>
      <c r="AD87" s="672"/>
      <c r="AE87" s="672"/>
      <c r="AF87" s="672"/>
      <c r="AG87" s="672"/>
      <c r="AH87" s="176"/>
      <c r="AI87" s="176"/>
      <c r="AJ87" s="176"/>
    </row>
    <row r="88" spans="1:36" ht="15">
      <c r="A88" s="234" t="s">
        <v>22</v>
      </c>
      <c r="B88" s="176"/>
      <c r="C88" s="176"/>
      <c r="D88" s="762"/>
      <c r="E88" s="176"/>
      <c r="F88" s="176"/>
      <c r="G88" s="176"/>
      <c r="H88" s="176"/>
      <c r="I88" s="176"/>
      <c r="J88" s="176"/>
      <c r="K88" s="176"/>
      <c r="L88" s="176"/>
      <c r="N88" s="176"/>
      <c r="O88" s="176"/>
      <c r="P88" s="176"/>
      <c r="Q88" s="176"/>
      <c r="R88" s="176"/>
      <c r="S88" s="176"/>
      <c r="T88" s="176"/>
      <c r="U88" s="176"/>
      <c r="V88" s="176"/>
      <c r="W88" s="176"/>
      <c r="X88" s="176"/>
      <c r="Z88" s="672"/>
      <c r="AA88" s="672"/>
      <c r="AB88" s="672"/>
      <c r="AC88" s="672"/>
      <c r="AD88" s="672"/>
      <c r="AE88" s="672"/>
      <c r="AF88" s="672"/>
      <c r="AG88" s="672"/>
      <c r="AH88" s="176"/>
      <c r="AI88" s="176"/>
      <c r="AJ88" s="176"/>
    </row>
    <row r="89" spans="1:36" ht="15">
      <c r="A89" s="212" t="s">
        <v>23</v>
      </c>
      <c r="B89" s="175">
        <v>5</v>
      </c>
      <c r="C89" s="175"/>
      <c r="D89" s="796">
        <v>0.04</v>
      </c>
      <c r="E89" s="175">
        <v>0</v>
      </c>
      <c r="F89" s="176"/>
      <c r="G89" s="176"/>
      <c r="H89" s="176"/>
      <c r="I89" s="174">
        <v>0.5</v>
      </c>
      <c r="J89" s="176"/>
      <c r="K89" s="176"/>
      <c r="L89" s="176"/>
      <c r="N89" s="174">
        <v>1.5</v>
      </c>
      <c r="O89" s="174">
        <v>2.5</v>
      </c>
      <c r="P89" s="174">
        <v>1.5</v>
      </c>
      <c r="Q89" s="174">
        <v>0</v>
      </c>
      <c r="R89" s="176"/>
      <c r="S89" s="176"/>
      <c r="T89" s="176"/>
      <c r="U89" s="174">
        <v>0</v>
      </c>
      <c r="V89" s="176"/>
      <c r="W89" s="176"/>
      <c r="X89" s="176"/>
      <c r="Z89" s="671">
        <v>1000</v>
      </c>
      <c r="AA89" s="671">
        <v>0</v>
      </c>
      <c r="AB89" s="671">
        <v>200</v>
      </c>
      <c r="AC89" s="671">
        <v>50</v>
      </c>
      <c r="AD89" s="672"/>
      <c r="AE89" s="672"/>
      <c r="AF89" s="672"/>
      <c r="AG89" s="673">
        <v>1500</v>
      </c>
      <c r="AH89" s="176"/>
      <c r="AI89" s="176"/>
      <c r="AJ89" s="176"/>
    </row>
    <row r="90" spans="1:36" ht="15">
      <c r="A90" s="212" t="s">
        <v>24</v>
      </c>
      <c r="B90" s="175">
        <v>11</v>
      </c>
      <c r="C90" s="175">
        <v>0.4</v>
      </c>
      <c r="D90" s="796">
        <v>0.04</v>
      </c>
      <c r="E90" s="175">
        <v>0</v>
      </c>
      <c r="F90" s="176"/>
      <c r="G90" s="176"/>
      <c r="H90" s="176"/>
      <c r="I90" s="174">
        <v>0.5</v>
      </c>
      <c r="J90" s="176"/>
      <c r="K90" s="176"/>
      <c r="L90" s="176"/>
      <c r="N90" s="174">
        <v>1.1</v>
      </c>
      <c r="O90" s="174">
        <v>2.5</v>
      </c>
      <c r="P90" s="174">
        <v>1.5</v>
      </c>
      <c r="Q90" s="174">
        <v>0</v>
      </c>
      <c r="R90" s="176"/>
      <c r="S90" s="176"/>
      <c r="T90" s="176"/>
      <c r="U90" s="174">
        <v>0</v>
      </c>
      <c r="V90" s="176"/>
      <c r="W90" s="176"/>
      <c r="X90" s="176"/>
      <c r="Z90" s="671">
        <v>1000</v>
      </c>
      <c r="AA90" s="671">
        <v>0</v>
      </c>
      <c r="AB90" s="671">
        <v>200</v>
      </c>
      <c r="AC90" s="671">
        <v>50</v>
      </c>
      <c r="AD90" s="672"/>
      <c r="AE90" s="672"/>
      <c r="AF90" s="672"/>
      <c r="AG90" s="673">
        <v>1500</v>
      </c>
      <c r="AH90" s="176"/>
      <c r="AI90" s="176"/>
      <c r="AJ90" s="176"/>
    </row>
    <row r="91" spans="1:36" ht="15">
      <c r="A91" s="212" t="s">
        <v>25</v>
      </c>
      <c r="B91" s="175">
        <v>11</v>
      </c>
      <c r="C91" s="175"/>
      <c r="D91" s="796">
        <v>0.04</v>
      </c>
      <c r="E91" s="175">
        <v>0</v>
      </c>
      <c r="F91" s="176"/>
      <c r="G91" s="176"/>
      <c r="H91" s="176"/>
      <c r="I91" s="174">
        <v>0.5</v>
      </c>
      <c r="J91" s="176"/>
      <c r="K91" s="176"/>
      <c r="L91" s="176"/>
      <c r="N91" s="174">
        <v>1.1</v>
      </c>
      <c r="O91" s="174">
        <v>2.5</v>
      </c>
      <c r="P91" s="174">
        <v>1.5</v>
      </c>
      <c r="Q91" s="174">
        <v>0</v>
      </c>
      <c r="R91" s="176"/>
      <c r="S91" s="176"/>
      <c r="T91" s="176"/>
      <c r="U91" s="174">
        <v>0</v>
      </c>
      <c r="V91" s="176"/>
      <c r="W91" s="176"/>
      <c r="X91" s="176"/>
      <c r="Z91" s="671">
        <v>1000</v>
      </c>
      <c r="AA91" s="671">
        <v>0</v>
      </c>
      <c r="AB91" s="671">
        <v>200</v>
      </c>
      <c r="AC91" s="671">
        <v>50</v>
      </c>
      <c r="AD91" s="672"/>
      <c r="AE91" s="672"/>
      <c r="AF91" s="672"/>
      <c r="AG91" s="673">
        <v>1500</v>
      </c>
      <c r="AH91" s="176"/>
      <c r="AI91" s="176"/>
      <c r="AJ91" s="176"/>
    </row>
    <row r="92" spans="1:36" ht="15">
      <c r="A92" s="212" t="s">
        <v>26</v>
      </c>
      <c r="B92" s="175">
        <v>11</v>
      </c>
      <c r="C92" s="175"/>
      <c r="D92" s="796">
        <v>0.04</v>
      </c>
      <c r="E92" s="175">
        <v>0</v>
      </c>
      <c r="F92" s="176"/>
      <c r="G92" s="176"/>
      <c r="H92" s="176"/>
      <c r="I92" s="174">
        <v>0.5</v>
      </c>
      <c r="J92" s="176"/>
      <c r="K92" s="176"/>
      <c r="L92" s="176"/>
      <c r="N92" s="174">
        <v>1.1</v>
      </c>
      <c r="O92" s="174">
        <v>2.5</v>
      </c>
      <c r="P92" s="174">
        <v>1.5</v>
      </c>
      <c r="Q92" s="174">
        <v>0</v>
      </c>
      <c r="R92" s="176"/>
      <c r="S92" s="176"/>
      <c r="T92" s="176"/>
      <c r="U92" s="174">
        <v>0</v>
      </c>
      <c r="V92" s="176"/>
      <c r="W92" s="176"/>
      <c r="X92" s="176"/>
      <c r="Z92" s="671">
        <v>1000</v>
      </c>
      <c r="AA92" s="671">
        <v>0</v>
      </c>
      <c r="AB92" s="671">
        <v>200</v>
      </c>
      <c r="AC92" s="671">
        <v>50</v>
      </c>
      <c r="AD92" s="672"/>
      <c r="AE92" s="672"/>
      <c r="AF92" s="672"/>
      <c r="AG92" s="673">
        <v>1500</v>
      </c>
      <c r="AH92" s="176"/>
      <c r="AI92" s="176"/>
      <c r="AJ92" s="176"/>
    </row>
    <row r="93" spans="1:36" ht="15">
      <c r="A93" s="212" t="s">
        <v>27</v>
      </c>
      <c r="B93" s="175">
        <v>11</v>
      </c>
      <c r="C93" s="175"/>
      <c r="D93" s="796">
        <v>0.04</v>
      </c>
      <c r="E93" s="175">
        <v>0</v>
      </c>
      <c r="F93" s="176"/>
      <c r="G93" s="176"/>
      <c r="H93" s="176"/>
      <c r="I93" s="174">
        <v>0.5</v>
      </c>
      <c r="J93" s="176"/>
      <c r="K93" s="176"/>
      <c r="L93" s="176"/>
      <c r="N93" s="174">
        <v>1.1</v>
      </c>
      <c r="O93" s="174">
        <v>2.5</v>
      </c>
      <c r="P93" s="174">
        <v>1</v>
      </c>
      <c r="Q93" s="174">
        <v>0</v>
      </c>
      <c r="R93" s="176"/>
      <c r="S93" s="176"/>
      <c r="T93" s="176"/>
      <c r="U93" s="174">
        <v>0</v>
      </c>
      <c r="V93" s="176"/>
      <c r="W93" s="176"/>
      <c r="X93" s="176"/>
      <c r="Z93" s="671">
        <v>1000</v>
      </c>
      <c r="AA93" s="671">
        <v>0</v>
      </c>
      <c r="AB93" s="671">
        <v>200</v>
      </c>
      <c r="AC93" s="671">
        <v>50</v>
      </c>
      <c r="AD93" s="672"/>
      <c r="AE93" s="672"/>
      <c r="AF93" s="672"/>
      <c r="AG93" s="673">
        <v>1500</v>
      </c>
      <c r="AH93" s="176"/>
      <c r="AI93" s="176"/>
      <c r="AJ93" s="176"/>
    </row>
    <row r="94" spans="1:36" ht="15">
      <c r="A94" s="212" t="s">
        <v>28</v>
      </c>
      <c r="B94" s="175">
        <v>11</v>
      </c>
      <c r="C94" s="175"/>
      <c r="D94" s="796">
        <v>0.04</v>
      </c>
      <c r="E94" s="175">
        <v>0</v>
      </c>
      <c r="F94" s="176"/>
      <c r="G94" s="176"/>
      <c r="H94" s="176"/>
      <c r="I94" s="174">
        <v>0.5</v>
      </c>
      <c r="J94" s="176"/>
      <c r="K94" s="176"/>
      <c r="L94" s="176"/>
      <c r="N94" s="174">
        <v>1.1</v>
      </c>
      <c r="O94" s="174">
        <v>2.5</v>
      </c>
      <c r="P94" s="174">
        <v>1</v>
      </c>
      <c r="Q94" s="174">
        <v>0</v>
      </c>
      <c r="R94" s="176"/>
      <c r="S94" s="176"/>
      <c r="T94" s="176"/>
      <c r="U94" s="174">
        <v>0</v>
      </c>
      <c r="V94" s="176"/>
      <c r="W94" s="176"/>
      <c r="X94" s="176"/>
      <c r="Z94" s="671">
        <v>1000</v>
      </c>
      <c r="AA94" s="671">
        <v>0</v>
      </c>
      <c r="AB94" s="671">
        <v>200</v>
      </c>
      <c r="AC94" s="671">
        <v>50</v>
      </c>
      <c r="AD94" s="672"/>
      <c r="AE94" s="672"/>
      <c r="AF94" s="672"/>
      <c r="AG94" s="673">
        <v>1500</v>
      </c>
      <c r="AH94" s="176"/>
      <c r="AI94" s="176"/>
      <c r="AJ94" s="176"/>
    </row>
    <row r="95" spans="1:36" ht="15">
      <c r="A95" s="212" t="s">
        <v>29</v>
      </c>
      <c r="B95" s="175">
        <v>11</v>
      </c>
      <c r="C95" s="175"/>
      <c r="D95" s="796">
        <v>0.04</v>
      </c>
      <c r="E95" s="175">
        <v>0</v>
      </c>
      <c r="F95" s="176"/>
      <c r="G95" s="176"/>
      <c r="H95" s="176"/>
      <c r="I95" s="174">
        <v>0.5</v>
      </c>
      <c r="J95" s="176"/>
      <c r="K95" s="176"/>
      <c r="L95" s="176"/>
      <c r="N95" s="174">
        <v>1.1</v>
      </c>
      <c r="O95" s="174">
        <v>2.5</v>
      </c>
      <c r="P95" s="174">
        <v>0.2</v>
      </c>
      <c r="Q95" s="174">
        <v>0</v>
      </c>
      <c r="R95" s="176"/>
      <c r="S95" s="176"/>
      <c r="T95" s="176"/>
      <c r="U95" s="174">
        <v>0</v>
      </c>
      <c r="V95" s="176"/>
      <c r="W95" s="176"/>
      <c r="X95" s="176"/>
      <c r="Z95" s="671">
        <v>1000</v>
      </c>
      <c r="AA95" s="671">
        <v>0</v>
      </c>
      <c r="AB95" s="671">
        <v>200</v>
      </c>
      <c r="AC95" s="671">
        <v>50</v>
      </c>
      <c r="AD95" s="672"/>
      <c r="AE95" s="672"/>
      <c r="AF95" s="672"/>
      <c r="AG95" s="673">
        <v>1500</v>
      </c>
      <c r="AH95" s="176"/>
      <c r="AI95" s="176"/>
      <c r="AJ95" s="176"/>
    </row>
    <row r="96" spans="1:36" ht="15">
      <c r="A96" s="212" t="s">
        <v>30</v>
      </c>
      <c r="B96" s="175">
        <v>11</v>
      </c>
      <c r="C96" s="175"/>
      <c r="D96" s="796">
        <v>0.04</v>
      </c>
      <c r="E96" s="175">
        <v>0</v>
      </c>
      <c r="F96" s="176"/>
      <c r="G96" s="176"/>
      <c r="H96" s="176"/>
      <c r="I96" s="174">
        <v>0.5</v>
      </c>
      <c r="J96" s="176"/>
      <c r="K96" s="176"/>
      <c r="L96" s="176"/>
      <c r="N96" s="174">
        <v>1.1</v>
      </c>
      <c r="O96" s="174">
        <v>2.5</v>
      </c>
      <c r="P96" s="174">
        <v>0.2</v>
      </c>
      <c r="Q96" s="174">
        <v>0</v>
      </c>
      <c r="R96" s="176"/>
      <c r="S96" s="176"/>
      <c r="T96" s="176"/>
      <c r="U96" s="174">
        <v>0</v>
      </c>
      <c r="V96" s="176"/>
      <c r="W96" s="176"/>
      <c r="X96" s="176"/>
      <c r="Z96" s="671">
        <v>1000</v>
      </c>
      <c r="AA96" s="671">
        <v>0</v>
      </c>
      <c r="AB96" s="671">
        <v>200</v>
      </c>
      <c r="AC96" s="671">
        <v>50</v>
      </c>
      <c r="AD96" s="672"/>
      <c r="AE96" s="672"/>
      <c r="AF96" s="672"/>
      <c r="AG96" s="673">
        <v>1500</v>
      </c>
      <c r="AH96" s="176"/>
      <c r="AI96" s="176"/>
      <c r="AJ96" s="176"/>
    </row>
    <row r="97" spans="1:36" ht="15">
      <c r="A97" s="212" t="s">
        <v>31</v>
      </c>
      <c r="B97" s="175">
        <v>11</v>
      </c>
      <c r="C97" s="175"/>
      <c r="D97" s="796">
        <v>0.04</v>
      </c>
      <c r="E97" s="175">
        <v>0</v>
      </c>
      <c r="F97" s="176"/>
      <c r="G97" s="176"/>
      <c r="H97" s="176"/>
      <c r="I97" s="174">
        <v>0.5</v>
      </c>
      <c r="J97" s="176"/>
      <c r="K97" s="176"/>
      <c r="L97" s="176"/>
      <c r="N97" s="174">
        <v>1.1</v>
      </c>
      <c r="O97" s="174">
        <v>2.5</v>
      </c>
      <c r="P97" s="174">
        <v>1.5</v>
      </c>
      <c r="Q97" s="174">
        <v>0</v>
      </c>
      <c r="R97" s="176"/>
      <c r="S97" s="176"/>
      <c r="T97" s="176"/>
      <c r="U97" s="174">
        <v>1.7</v>
      </c>
      <c r="V97" s="176"/>
      <c r="W97" s="176"/>
      <c r="X97" s="176"/>
      <c r="Z97" s="671">
        <v>1000</v>
      </c>
      <c r="AA97" s="671">
        <v>0</v>
      </c>
      <c r="AB97" s="671">
        <v>200</v>
      </c>
      <c r="AC97" s="671">
        <v>50</v>
      </c>
      <c r="AD97" s="672"/>
      <c r="AE97" s="672"/>
      <c r="AF97" s="672"/>
      <c r="AG97" s="673">
        <v>1500</v>
      </c>
      <c r="AH97" s="176"/>
      <c r="AI97" s="176"/>
      <c r="AJ97" s="176"/>
    </row>
    <row r="98" spans="1:36" ht="15">
      <c r="A98" s="212" t="s">
        <v>32</v>
      </c>
      <c r="B98" s="175">
        <v>11</v>
      </c>
      <c r="C98" s="175"/>
      <c r="D98" s="796">
        <v>0.04</v>
      </c>
      <c r="E98" s="175">
        <v>0</v>
      </c>
      <c r="F98" s="176"/>
      <c r="G98" s="176"/>
      <c r="H98" s="176"/>
      <c r="I98" s="174">
        <v>0.5</v>
      </c>
      <c r="J98" s="176"/>
      <c r="K98" s="176"/>
      <c r="L98" s="176"/>
      <c r="N98" s="174">
        <v>1.1</v>
      </c>
      <c r="O98" s="174">
        <v>2.5</v>
      </c>
      <c r="P98" s="174">
        <v>1.5</v>
      </c>
      <c r="Q98" s="174">
        <v>0</v>
      </c>
      <c r="R98" s="176"/>
      <c r="S98" s="176"/>
      <c r="T98" s="176"/>
      <c r="U98" s="174">
        <v>0.2</v>
      </c>
      <c r="V98" s="176"/>
      <c r="W98" s="176"/>
      <c r="X98" s="176"/>
      <c r="Z98" s="671">
        <v>1000</v>
      </c>
      <c r="AA98" s="671">
        <v>0</v>
      </c>
      <c r="AB98" s="671">
        <v>200</v>
      </c>
      <c r="AC98" s="671">
        <v>50</v>
      </c>
      <c r="AD98" s="672"/>
      <c r="AE98" s="672"/>
      <c r="AF98" s="672"/>
      <c r="AG98" s="673">
        <v>1500</v>
      </c>
      <c r="AH98" s="176"/>
      <c r="AI98" s="176"/>
      <c r="AJ98" s="176"/>
    </row>
    <row r="99" spans="1:36" ht="15">
      <c r="A99" s="212" t="s">
        <v>33</v>
      </c>
      <c r="B99" s="175">
        <v>11</v>
      </c>
      <c r="C99" s="175"/>
      <c r="D99" s="796">
        <v>0.04</v>
      </c>
      <c r="E99" s="175">
        <v>0</v>
      </c>
      <c r="F99" s="176"/>
      <c r="G99" s="176"/>
      <c r="H99" s="176"/>
      <c r="I99" s="174">
        <v>0.5</v>
      </c>
      <c r="J99" s="176"/>
      <c r="K99" s="176"/>
      <c r="L99" s="176"/>
      <c r="N99" s="174">
        <v>1.1</v>
      </c>
      <c r="O99" s="174">
        <v>2.5</v>
      </c>
      <c r="P99" s="174">
        <v>0.2</v>
      </c>
      <c r="Q99" s="174">
        <v>0</v>
      </c>
      <c r="R99" s="176"/>
      <c r="S99" s="176"/>
      <c r="T99" s="176"/>
      <c r="U99" s="174">
        <v>0</v>
      </c>
      <c r="V99" s="176"/>
      <c r="W99" s="176"/>
      <c r="X99" s="176"/>
      <c r="Z99" s="671">
        <v>5000</v>
      </c>
      <c r="AA99" s="671">
        <v>0</v>
      </c>
      <c r="AB99" s="671">
        <v>200</v>
      </c>
      <c r="AC99" s="671">
        <v>50</v>
      </c>
      <c r="AD99" s="672"/>
      <c r="AE99" s="672"/>
      <c r="AF99" s="672"/>
      <c r="AG99" s="673">
        <v>1500</v>
      </c>
      <c r="AH99" s="176"/>
      <c r="AI99" s="176"/>
      <c r="AJ99" s="176"/>
    </row>
    <row r="100" spans="1:36" ht="15">
      <c r="A100" s="212" t="s">
        <v>34</v>
      </c>
      <c r="B100" s="175">
        <v>11</v>
      </c>
      <c r="C100" s="175"/>
      <c r="D100" s="796">
        <v>0.04</v>
      </c>
      <c r="E100" s="175">
        <v>0</v>
      </c>
      <c r="F100" s="176"/>
      <c r="G100" s="176"/>
      <c r="H100" s="176"/>
      <c r="I100" s="174">
        <v>0.5</v>
      </c>
      <c r="J100" s="176"/>
      <c r="K100" s="176"/>
      <c r="L100" s="176"/>
      <c r="N100" s="174">
        <v>1.1</v>
      </c>
      <c r="O100" s="174">
        <v>2.5</v>
      </c>
      <c r="P100" s="174">
        <v>0.2</v>
      </c>
      <c r="Q100" s="174">
        <v>0</v>
      </c>
      <c r="R100" s="176"/>
      <c r="S100" s="176"/>
      <c r="T100" s="176"/>
      <c r="U100" s="174">
        <v>0</v>
      </c>
      <c r="V100" s="176"/>
      <c r="W100" s="176"/>
      <c r="X100" s="176"/>
      <c r="Z100" s="671">
        <v>1000</v>
      </c>
      <c r="AA100" s="671">
        <v>0</v>
      </c>
      <c r="AB100" s="671">
        <v>200</v>
      </c>
      <c r="AC100" s="671">
        <v>50</v>
      </c>
      <c r="AD100" s="672"/>
      <c r="AE100" s="672"/>
      <c r="AF100" s="672"/>
      <c r="AG100" s="673">
        <v>1500</v>
      </c>
      <c r="AH100" s="176"/>
      <c r="AI100" s="176"/>
      <c r="AJ100" s="176"/>
    </row>
    <row r="101" spans="1:36" ht="15">
      <c r="A101" s="235" t="s">
        <v>35</v>
      </c>
      <c r="B101" s="175">
        <v>11</v>
      </c>
      <c r="C101" s="175"/>
      <c r="D101" s="796">
        <v>0.04</v>
      </c>
      <c r="E101" s="175">
        <v>0</v>
      </c>
      <c r="F101" s="176"/>
      <c r="G101" s="176"/>
      <c r="H101" s="176"/>
      <c r="I101" s="174">
        <v>0.5</v>
      </c>
      <c r="J101" s="176"/>
      <c r="K101" s="176"/>
      <c r="L101" s="176"/>
      <c r="N101" s="174">
        <v>1.1</v>
      </c>
      <c r="O101" s="174">
        <v>2.5</v>
      </c>
      <c r="P101" s="174">
        <v>1</v>
      </c>
      <c r="Q101" s="174">
        <v>0</v>
      </c>
      <c r="R101" s="176"/>
      <c r="S101" s="176"/>
      <c r="T101" s="176"/>
      <c r="U101" s="174">
        <v>0</v>
      </c>
      <c r="V101" s="176"/>
      <c r="W101" s="176"/>
      <c r="X101" s="176"/>
      <c r="Z101" s="671">
        <v>1000</v>
      </c>
      <c r="AA101" s="671">
        <v>0</v>
      </c>
      <c r="AB101" s="671">
        <v>200</v>
      </c>
      <c r="AC101" s="671">
        <v>50</v>
      </c>
      <c r="AD101" s="672"/>
      <c r="AE101" s="672"/>
      <c r="AF101" s="672"/>
      <c r="AG101" s="673">
        <v>1500</v>
      </c>
      <c r="AH101" s="176"/>
      <c r="AI101" s="176"/>
      <c r="AJ101" s="176"/>
    </row>
    <row r="102" spans="1:36" ht="15">
      <c r="A102" s="55" t="s">
        <v>36</v>
      </c>
      <c r="B102" s="176"/>
      <c r="C102" s="176"/>
      <c r="D102" s="176"/>
      <c r="E102" s="176"/>
      <c r="F102" s="176"/>
      <c r="G102" s="176"/>
      <c r="H102" s="176"/>
      <c r="I102" s="176"/>
      <c r="J102" s="176"/>
      <c r="K102" s="176"/>
      <c r="L102" s="176"/>
      <c r="N102" s="176"/>
      <c r="O102" s="176"/>
      <c r="P102" s="176"/>
      <c r="Q102" s="176"/>
      <c r="R102" s="176"/>
      <c r="S102" s="176"/>
      <c r="T102" s="176"/>
      <c r="U102" s="176"/>
      <c r="V102" s="176"/>
      <c r="W102" s="176"/>
      <c r="X102" s="176"/>
      <c r="Z102" s="672"/>
      <c r="AA102" s="672"/>
      <c r="AB102" s="672"/>
      <c r="AC102" s="672"/>
      <c r="AD102" s="672"/>
      <c r="AE102" s="672"/>
      <c r="AF102" s="672"/>
      <c r="AG102" s="672"/>
      <c r="AH102" s="176"/>
      <c r="AI102" s="176"/>
      <c r="AJ102" s="176"/>
    </row>
    <row r="103" spans="1:36" ht="15">
      <c r="A103" s="112" t="s">
        <v>98</v>
      </c>
      <c r="B103" s="175">
        <v>11</v>
      </c>
      <c r="C103" s="175"/>
      <c r="D103" s="175">
        <v>0</v>
      </c>
      <c r="E103" s="175">
        <v>0</v>
      </c>
      <c r="F103" s="176"/>
      <c r="G103" s="176"/>
      <c r="H103" s="176"/>
      <c r="I103" s="174"/>
      <c r="J103" s="176"/>
      <c r="K103" s="176"/>
      <c r="L103" s="176"/>
      <c r="N103" s="174">
        <v>1.1</v>
      </c>
      <c r="O103" s="174">
        <v>0</v>
      </c>
      <c r="P103" s="174">
        <v>0</v>
      </c>
      <c r="Q103" s="174">
        <v>0</v>
      </c>
      <c r="R103" s="176"/>
      <c r="S103" s="176"/>
      <c r="T103" s="176"/>
      <c r="U103" s="174">
        <v>0</v>
      </c>
      <c r="V103" s="176"/>
      <c r="W103" s="176"/>
      <c r="X103" s="176"/>
      <c r="Z103" s="671">
        <v>0</v>
      </c>
      <c r="AA103" s="671"/>
      <c r="AB103" s="671">
        <v>10</v>
      </c>
      <c r="AC103" s="671">
        <v>0</v>
      </c>
      <c r="AD103" s="672"/>
      <c r="AE103" s="672"/>
      <c r="AF103" s="672"/>
      <c r="AG103" s="673"/>
      <c r="AH103" s="176"/>
      <c r="AI103" s="176"/>
      <c r="AJ103" s="176"/>
    </row>
    <row r="104" spans="1:36" ht="15.75" thickBot="1">
      <c r="A104" s="261" t="s">
        <v>283</v>
      </c>
      <c r="B104" s="175">
        <v>11</v>
      </c>
      <c r="C104" s="763"/>
      <c r="D104" s="763"/>
      <c r="E104" s="175">
        <v>0</v>
      </c>
      <c r="F104" s="176"/>
      <c r="G104" s="176"/>
      <c r="H104" s="176"/>
      <c r="I104" s="775"/>
      <c r="J104" s="176"/>
      <c r="K104" s="176"/>
      <c r="L104" s="176"/>
      <c r="N104" s="174">
        <v>1.1</v>
      </c>
      <c r="O104" s="775"/>
      <c r="P104" s="775"/>
      <c r="Q104" s="174">
        <v>0</v>
      </c>
      <c r="R104" s="176"/>
      <c r="S104" s="176"/>
      <c r="T104" s="176"/>
      <c r="U104" s="174"/>
      <c r="V104" s="176"/>
      <c r="W104" s="176"/>
      <c r="X104" s="176"/>
      <c r="Z104" s="671">
        <v>0</v>
      </c>
      <c r="AA104" s="671"/>
      <c r="AB104" s="671"/>
      <c r="AC104" s="671">
        <v>0</v>
      </c>
      <c r="AD104" s="672"/>
      <c r="AE104" s="672"/>
      <c r="AF104" s="672"/>
      <c r="AG104" s="673"/>
      <c r="AH104" s="176"/>
      <c r="AI104" s="176"/>
      <c r="AJ104" s="176"/>
    </row>
    <row r="105" spans="1:36" ht="15.75" thickBot="1">
      <c r="A105" s="247"/>
      <c r="B105" s="175">
        <v>11</v>
      </c>
      <c r="C105" s="620" t="s">
        <v>258</v>
      </c>
      <c r="D105" s="621" t="s">
        <v>260</v>
      </c>
      <c r="E105" s="622" t="s">
        <v>120</v>
      </c>
      <c r="F105" s="176"/>
      <c r="G105" s="176"/>
      <c r="H105" s="176"/>
      <c r="I105" s="628" t="s">
        <v>261</v>
      </c>
      <c r="J105" s="640" t="s">
        <v>257</v>
      </c>
      <c r="K105" s="176"/>
      <c r="L105" s="176"/>
      <c r="N105" s="174">
        <v>1.1</v>
      </c>
      <c r="O105" s="776" t="s">
        <v>258</v>
      </c>
      <c r="P105" s="777" t="s">
        <v>260</v>
      </c>
      <c r="Q105" s="622" t="s">
        <v>120</v>
      </c>
      <c r="R105" s="176"/>
      <c r="S105" s="176"/>
      <c r="T105" s="176"/>
      <c r="U105" s="628" t="s">
        <v>261</v>
      </c>
      <c r="V105" s="640" t="s">
        <v>257</v>
      </c>
      <c r="W105" s="176"/>
      <c r="X105" s="176"/>
      <c r="Z105" s="671">
        <v>0</v>
      </c>
      <c r="AA105" s="675" t="s">
        <v>258</v>
      </c>
      <c r="AB105" s="676" t="s">
        <v>260</v>
      </c>
      <c r="AC105" s="677" t="s">
        <v>120</v>
      </c>
      <c r="AD105" s="672"/>
      <c r="AE105" s="672"/>
      <c r="AF105" s="672"/>
      <c r="AG105" s="678" t="s">
        <v>261</v>
      </c>
      <c r="AH105" s="640" t="s">
        <v>257</v>
      </c>
      <c r="AI105" s="176"/>
      <c r="AJ105" s="176"/>
    </row>
    <row r="106" spans="1:36" ht="15">
      <c r="A106" s="247" t="s">
        <v>284</v>
      </c>
      <c r="B106" s="175">
        <v>11</v>
      </c>
      <c r="C106" s="764"/>
      <c r="D106" s="765">
        <v>0</v>
      </c>
      <c r="E106" s="766">
        <v>0</v>
      </c>
      <c r="F106" s="767"/>
      <c r="G106" s="767"/>
      <c r="H106" s="767"/>
      <c r="I106" s="768">
        <v>0</v>
      </c>
      <c r="J106" s="662"/>
      <c r="K106" s="176"/>
      <c r="L106" s="176"/>
      <c r="M106" s="663"/>
      <c r="N106" s="174">
        <v>1.1</v>
      </c>
      <c r="O106" s="778">
        <v>0.005</v>
      </c>
      <c r="P106" s="765">
        <v>0</v>
      </c>
      <c r="Q106" s="631">
        <v>0</v>
      </c>
      <c r="R106" s="176"/>
      <c r="S106" s="176"/>
      <c r="T106" s="176"/>
      <c r="U106" s="632">
        <v>0</v>
      </c>
      <c r="V106" s="641"/>
      <c r="W106" s="176"/>
      <c r="X106" s="176"/>
      <c r="Z106" s="671"/>
      <c r="AA106" s="679"/>
      <c r="AB106" s="679"/>
      <c r="AC106" s="680"/>
      <c r="AD106" s="672"/>
      <c r="AE106" s="672"/>
      <c r="AF106" s="672"/>
      <c r="AG106" s="681"/>
      <c r="AH106" s="641"/>
      <c r="AI106" s="176"/>
      <c r="AJ106" s="176"/>
    </row>
    <row r="107" spans="1:36" ht="15">
      <c r="A107" s="209" t="s">
        <v>127</v>
      </c>
      <c r="B107" s="175">
        <v>11</v>
      </c>
      <c r="C107" s="764"/>
      <c r="D107" s="765"/>
      <c r="E107" s="766">
        <v>0</v>
      </c>
      <c r="F107" s="767"/>
      <c r="G107" s="767"/>
      <c r="H107" s="767"/>
      <c r="I107" s="768">
        <v>0</v>
      </c>
      <c r="J107" s="662"/>
      <c r="K107" s="176"/>
      <c r="L107" s="176"/>
      <c r="M107" s="663"/>
      <c r="N107" s="174">
        <v>1.1</v>
      </c>
      <c r="O107" s="778">
        <v>0.005</v>
      </c>
      <c r="P107" s="765">
        <v>0</v>
      </c>
      <c r="Q107" s="631">
        <v>0</v>
      </c>
      <c r="R107" s="176"/>
      <c r="S107" s="176"/>
      <c r="T107" s="176"/>
      <c r="U107" s="632">
        <v>0</v>
      </c>
      <c r="V107" s="641"/>
      <c r="W107" s="176"/>
      <c r="X107" s="176"/>
      <c r="Z107" s="671"/>
      <c r="AA107" s="679"/>
      <c r="AB107" s="679"/>
      <c r="AC107" s="680"/>
      <c r="AD107" s="672"/>
      <c r="AE107" s="672"/>
      <c r="AF107" s="672"/>
      <c r="AG107" s="681"/>
      <c r="AH107" s="641"/>
      <c r="AI107" s="176"/>
      <c r="AJ107" s="176"/>
    </row>
    <row r="108" spans="1:36" ht="15">
      <c r="A108" s="213" t="s">
        <v>128</v>
      </c>
      <c r="B108" s="175">
        <v>11</v>
      </c>
      <c r="C108" s="764">
        <v>0.005</v>
      </c>
      <c r="D108" s="765"/>
      <c r="E108" s="766">
        <v>0</v>
      </c>
      <c r="F108" s="767"/>
      <c r="G108" s="767"/>
      <c r="H108" s="767"/>
      <c r="I108" s="768">
        <v>0.0051</v>
      </c>
      <c r="J108" s="662"/>
      <c r="K108" s="176"/>
      <c r="L108" s="176"/>
      <c r="M108" s="663"/>
      <c r="N108" s="174">
        <v>1.1</v>
      </c>
      <c r="O108" s="778">
        <v>0.005</v>
      </c>
      <c r="P108" s="765">
        <v>0</v>
      </c>
      <c r="Q108" s="631">
        <v>0</v>
      </c>
      <c r="R108" s="176"/>
      <c r="S108" s="176"/>
      <c r="T108" s="176"/>
      <c r="U108" s="632">
        <v>0</v>
      </c>
      <c r="V108" s="641"/>
      <c r="W108" s="176"/>
      <c r="X108" s="176"/>
      <c r="Z108" s="671"/>
      <c r="AA108" s="679">
        <v>2000</v>
      </c>
      <c r="AB108" s="679"/>
      <c r="AC108" s="680">
        <v>25</v>
      </c>
      <c r="AD108" s="672"/>
      <c r="AE108" s="672"/>
      <c r="AF108" s="672"/>
      <c r="AG108" s="681">
        <v>2000</v>
      </c>
      <c r="AH108" s="641"/>
      <c r="AI108" s="176"/>
      <c r="AJ108" s="176"/>
    </row>
    <row r="109" spans="1:36" ht="15">
      <c r="A109" s="276" t="s">
        <v>285</v>
      </c>
      <c r="B109" s="175">
        <v>11</v>
      </c>
      <c r="C109" s="764">
        <v>0.005</v>
      </c>
      <c r="D109" s="765"/>
      <c r="E109" s="766"/>
      <c r="F109" s="767"/>
      <c r="G109" s="767"/>
      <c r="H109" s="767"/>
      <c r="I109" s="768">
        <v>0.0051</v>
      </c>
      <c r="J109" s="662"/>
      <c r="K109" s="176"/>
      <c r="L109" s="176"/>
      <c r="M109" s="663"/>
      <c r="N109" s="174"/>
      <c r="O109" s="778">
        <v>0.005</v>
      </c>
      <c r="P109" s="765"/>
      <c r="Q109" s="631"/>
      <c r="R109" s="176"/>
      <c r="S109" s="176"/>
      <c r="T109" s="176"/>
      <c r="U109" s="632"/>
      <c r="V109" s="641"/>
      <c r="W109" s="176"/>
      <c r="X109" s="176"/>
      <c r="Z109" s="671"/>
      <c r="AA109" s="679">
        <v>2000</v>
      </c>
      <c r="AB109" s="679">
        <v>500</v>
      </c>
      <c r="AC109" s="680"/>
      <c r="AD109" s="672"/>
      <c r="AE109" s="672"/>
      <c r="AF109" s="672"/>
      <c r="AG109" s="681">
        <v>2000</v>
      </c>
      <c r="AH109" s="641"/>
      <c r="AI109" s="176"/>
      <c r="AJ109" s="176"/>
    </row>
    <row r="110" spans="1:36" ht="15">
      <c r="A110" s="216" t="s">
        <v>134</v>
      </c>
      <c r="B110" s="175">
        <v>11</v>
      </c>
      <c r="C110" s="764"/>
      <c r="D110" s="765"/>
      <c r="E110" s="766">
        <v>0</v>
      </c>
      <c r="F110" s="767"/>
      <c r="G110" s="767"/>
      <c r="H110" s="767"/>
      <c r="I110" s="768">
        <v>0</v>
      </c>
      <c r="J110" s="662"/>
      <c r="K110" s="176"/>
      <c r="L110" s="176"/>
      <c r="M110" s="663"/>
      <c r="N110" s="174">
        <v>1.1</v>
      </c>
      <c r="O110" s="778">
        <v>0.005</v>
      </c>
      <c r="P110" s="765">
        <v>0</v>
      </c>
      <c r="Q110" s="631">
        <v>0</v>
      </c>
      <c r="R110" s="176"/>
      <c r="S110" s="176"/>
      <c r="T110" s="176"/>
      <c r="U110" s="632">
        <v>0</v>
      </c>
      <c r="V110" s="641"/>
      <c r="W110" s="176"/>
      <c r="X110" s="176"/>
      <c r="Z110" s="671"/>
      <c r="AA110" s="679"/>
      <c r="AB110" s="679"/>
      <c r="AC110" s="680"/>
      <c r="AD110" s="672"/>
      <c r="AE110" s="672"/>
      <c r="AF110" s="672"/>
      <c r="AG110" s="681"/>
      <c r="AH110" s="641"/>
      <c r="AI110" s="176"/>
      <c r="AJ110" s="176"/>
    </row>
    <row r="111" spans="1:36" ht="15">
      <c r="A111" s="213" t="s">
        <v>131</v>
      </c>
      <c r="B111" s="175">
        <v>11</v>
      </c>
      <c r="C111" s="764"/>
      <c r="D111" s="765"/>
      <c r="E111" s="766">
        <v>0</v>
      </c>
      <c r="F111" s="767"/>
      <c r="G111" s="767"/>
      <c r="H111" s="767"/>
      <c r="I111" s="768">
        <v>0</v>
      </c>
      <c r="J111" s="662"/>
      <c r="K111" s="176"/>
      <c r="L111" s="176"/>
      <c r="M111" s="663"/>
      <c r="N111" s="174">
        <v>1.1</v>
      </c>
      <c r="O111" s="778">
        <v>0.005</v>
      </c>
      <c r="P111" s="765">
        <v>0</v>
      </c>
      <c r="Q111" s="631">
        <v>0</v>
      </c>
      <c r="R111" s="176"/>
      <c r="S111" s="176"/>
      <c r="T111" s="176"/>
      <c r="U111" s="632">
        <v>0</v>
      </c>
      <c r="V111" s="641"/>
      <c r="W111" s="176"/>
      <c r="X111" s="176"/>
      <c r="Z111" s="671"/>
      <c r="AA111" s="679"/>
      <c r="AB111" s="679"/>
      <c r="AC111" s="680"/>
      <c r="AD111" s="672"/>
      <c r="AE111" s="672"/>
      <c r="AF111" s="672"/>
      <c r="AG111" s="681"/>
      <c r="AH111" s="641"/>
      <c r="AI111" s="176"/>
      <c r="AJ111" s="176"/>
    </row>
    <row r="112" spans="1:36" ht="15">
      <c r="A112" s="209" t="s">
        <v>132</v>
      </c>
      <c r="B112" s="175">
        <v>11</v>
      </c>
      <c r="C112" s="764">
        <v>0.005</v>
      </c>
      <c r="D112" s="765"/>
      <c r="E112" s="766">
        <v>0</v>
      </c>
      <c r="F112" s="767"/>
      <c r="G112" s="767"/>
      <c r="H112" s="767"/>
      <c r="I112" s="768">
        <v>0.0051</v>
      </c>
      <c r="J112" s="662"/>
      <c r="K112" s="176"/>
      <c r="L112" s="176"/>
      <c r="M112" s="663"/>
      <c r="N112" s="174">
        <v>1.1</v>
      </c>
      <c r="O112" s="778">
        <v>0.005</v>
      </c>
      <c r="P112" s="765"/>
      <c r="Q112" s="631">
        <v>0</v>
      </c>
      <c r="R112" s="176"/>
      <c r="S112" s="176"/>
      <c r="T112" s="176"/>
      <c r="U112" s="632"/>
      <c r="V112" s="641"/>
      <c r="W112" s="176"/>
      <c r="X112" s="176"/>
      <c r="Z112" s="671"/>
      <c r="AA112" s="679">
        <v>3000</v>
      </c>
      <c r="AB112" s="679"/>
      <c r="AC112" s="680"/>
      <c r="AD112" s="672"/>
      <c r="AE112" s="672"/>
      <c r="AF112" s="672"/>
      <c r="AG112" s="681">
        <v>3000</v>
      </c>
      <c r="AH112" s="641"/>
      <c r="AI112" s="176"/>
      <c r="AJ112" s="176"/>
    </row>
    <row r="113" spans="1:36" ht="15">
      <c r="A113" s="48" t="s">
        <v>39</v>
      </c>
      <c r="B113" s="175">
        <v>11</v>
      </c>
      <c r="C113" s="764">
        <v>0.005</v>
      </c>
      <c r="D113" s="765"/>
      <c r="E113" s="766">
        <v>0</v>
      </c>
      <c r="F113" s="767"/>
      <c r="G113" s="767"/>
      <c r="H113" s="767"/>
      <c r="I113" s="768">
        <v>0</v>
      </c>
      <c r="J113" s="665"/>
      <c r="K113" s="176"/>
      <c r="L113" s="176"/>
      <c r="M113" s="663"/>
      <c r="N113" s="174">
        <v>1.1</v>
      </c>
      <c r="O113" s="779">
        <v>0.005</v>
      </c>
      <c r="P113" s="765"/>
      <c r="Q113" s="635">
        <v>0</v>
      </c>
      <c r="R113" s="176"/>
      <c r="S113" s="176"/>
      <c r="T113" s="176"/>
      <c r="U113" s="632"/>
      <c r="V113" s="642"/>
      <c r="W113" s="176"/>
      <c r="X113" s="176"/>
      <c r="Z113" s="671">
        <v>10000</v>
      </c>
      <c r="AA113" s="679">
        <v>3000</v>
      </c>
      <c r="AB113" s="679"/>
      <c r="AC113" s="682"/>
      <c r="AD113" s="672"/>
      <c r="AE113" s="672"/>
      <c r="AF113" s="672"/>
      <c r="AG113" s="681"/>
      <c r="AH113" s="642"/>
      <c r="AI113" s="176"/>
      <c r="AJ113" s="176"/>
    </row>
    <row r="114" spans="1:36" ht="15">
      <c r="A114" s="209" t="s">
        <v>127</v>
      </c>
      <c r="B114" s="175">
        <v>11</v>
      </c>
      <c r="C114" s="764">
        <v>0.005</v>
      </c>
      <c r="D114" s="765"/>
      <c r="E114" s="766">
        <v>0</v>
      </c>
      <c r="F114" s="767"/>
      <c r="G114" s="767"/>
      <c r="H114" s="767"/>
      <c r="I114" s="768">
        <v>0.0051</v>
      </c>
      <c r="J114" s="662"/>
      <c r="K114" s="176"/>
      <c r="L114" s="176"/>
      <c r="M114" s="663"/>
      <c r="N114" s="174">
        <v>1.1</v>
      </c>
      <c r="O114" s="778">
        <v>0.005</v>
      </c>
      <c r="P114" s="765"/>
      <c r="Q114" s="631">
        <v>0</v>
      </c>
      <c r="R114" s="176"/>
      <c r="S114" s="176"/>
      <c r="T114" s="176"/>
      <c r="U114" s="632"/>
      <c r="V114" s="641"/>
      <c r="W114" s="176"/>
      <c r="X114" s="176"/>
      <c r="Z114" s="671"/>
      <c r="AA114" s="679">
        <v>3000</v>
      </c>
      <c r="AB114" s="679"/>
      <c r="AC114" s="680"/>
      <c r="AD114" s="672"/>
      <c r="AE114" s="672"/>
      <c r="AF114" s="672"/>
      <c r="AG114" s="681">
        <v>3000</v>
      </c>
      <c r="AH114" s="641"/>
      <c r="AI114" s="176"/>
      <c r="AJ114" s="176"/>
    </row>
    <row r="115" spans="1:36" ht="15.75" thickBot="1">
      <c r="A115" s="209" t="s">
        <v>132</v>
      </c>
      <c r="B115" s="175">
        <v>11</v>
      </c>
      <c r="C115" s="769">
        <v>0.005</v>
      </c>
      <c r="D115" s="770"/>
      <c r="E115" s="771">
        <v>0</v>
      </c>
      <c r="F115" s="767"/>
      <c r="G115" s="767"/>
      <c r="H115" s="767"/>
      <c r="I115" s="772">
        <v>0.0051</v>
      </c>
      <c r="J115" s="669"/>
      <c r="K115" s="176"/>
      <c r="L115" s="176"/>
      <c r="M115" s="663"/>
      <c r="N115" s="174">
        <v>1.1</v>
      </c>
      <c r="O115" s="791">
        <v>0.005</v>
      </c>
      <c r="P115" s="667"/>
      <c r="Q115" s="638">
        <v>0</v>
      </c>
      <c r="R115" s="176"/>
      <c r="S115" s="176"/>
      <c r="T115" s="176"/>
      <c r="U115" s="639"/>
      <c r="V115" s="643"/>
      <c r="W115" s="176"/>
      <c r="X115" s="176"/>
      <c r="Z115" s="671"/>
      <c r="AA115" s="683">
        <v>3000</v>
      </c>
      <c r="AB115" s="683"/>
      <c r="AC115" s="684">
        <v>0</v>
      </c>
      <c r="AD115" s="672"/>
      <c r="AE115" s="672"/>
      <c r="AF115" s="672"/>
      <c r="AG115" s="685">
        <v>3000</v>
      </c>
      <c r="AH115" s="643"/>
      <c r="AI115" s="176"/>
      <c r="AJ115" s="176"/>
    </row>
    <row r="116" spans="1:36" ht="15">
      <c r="A116" s="48" t="s">
        <v>40</v>
      </c>
      <c r="B116" s="175">
        <v>11</v>
      </c>
      <c r="C116" s="175"/>
      <c r="D116" s="763">
        <v>0.005</v>
      </c>
      <c r="E116" s="175">
        <v>0</v>
      </c>
      <c r="F116" s="176"/>
      <c r="G116" s="176"/>
      <c r="H116" s="176"/>
      <c r="I116" s="174">
        <v>0.5</v>
      </c>
      <c r="J116" s="176"/>
      <c r="K116" s="176"/>
      <c r="L116" s="176"/>
      <c r="N116" s="174">
        <v>1.1</v>
      </c>
      <c r="O116" s="174">
        <v>0</v>
      </c>
      <c r="P116" s="174">
        <v>0.2</v>
      </c>
      <c r="Q116" s="174">
        <v>0</v>
      </c>
      <c r="R116" s="176"/>
      <c r="S116" s="176"/>
      <c r="T116" s="176"/>
      <c r="U116" s="174">
        <v>0</v>
      </c>
      <c r="V116" s="176"/>
      <c r="W116" s="176"/>
      <c r="X116" s="176"/>
      <c r="Z116" s="671"/>
      <c r="AA116" s="671"/>
      <c r="AB116" s="671">
        <v>1000</v>
      </c>
      <c r="AC116" s="671">
        <v>25</v>
      </c>
      <c r="AD116" s="672"/>
      <c r="AE116" s="672"/>
      <c r="AF116" s="672"/>
      <c r="AG116" s="673">
        <v>1000</v>
      </c>
      <c r="AH116" s="176"/>
      <c r="AI116" s="176"/>
      <c r="AJ116" s="176"/>
    </row>
    <row r="117" spans="1:36" ht="15">
      <c r="A117" s="112" t="s">
        <v>99</v>
      </c>
      <c r="B117" s="175">
        <v>11</v>
      </c>
      <c r="C117" s="175"/>
      <c r="D117" s="763">
        <v>0.005</v>
      </c>
      <c r="E117" s="175">
        <v>0</v>
      </c>
      <c r="F117" s="176"/>
      <c r="G117" s="176"/>
      <c r="H117" s="176"/>
      <c r="I117" s="174">
        <v>0.5</v>
      </c>
      <c r="J117" s="176"/>
      <c r="K117" s="176"/>
      <c r="L117" s="176"/>
      <c r="N117" s="174">
        <v>1.1</v>
      </c>
      <c r="O117" s="174">
        <v>0</v>
      </c>
      <c r="P117" s="174">
        <v>0.2</v>
      </c>
      <c r="Q117" s="174">
        <v>0</v>
      </c>
      <c r="R117" s="176"/>
      <c r="S117" s="176"/>
      <c r="T117" s="176"/>
      <c r="U117" s="174">
        <v>0</v>
      </c>
      <c r="V117" s="176"/>
      <c r="W117" s="176"/>
      <c r="X117" s="176"/>
      <c r="Z117" s="671"/>
      <c r="AA117" s="671"/>
      <c r="AB117" s="671">
        <v>3000</v>
      </c>
      <c r="AC117" s="671"/>
      <c r="AD117" s="672"/>
      <c r="AE117" s="672"/>
      <c r="AF117" s="672"/>
      <c r="AG117" s="673">
        <v>3000</v>
      </c>
      <c r="AH117" s="176"/>
      <c r="AI117" s="176"/>
      <c r="AJ117" s="176"/>
    </row>
    <row r="118" spans="1:36" ht="15">
      <c r="A118" s="57" t="s">
        <v>35</v>
      </c>
      <c r="B118" s="175">
        <v>11</v>
      </c>
      <c r="C118" s="175"/>
      <c r="D118" s="763">
        <v>0.005</v>
      </c>
      <c r="E118" s="175">
        <v>0</v>
      </c>
      <c r="F118" s="176"/>
      <c r="G118" s="176"/>
      <c r="H118" s="176"/>
      <c r="I118" s="174">
        <v>0.5</v>
      </c>
      <c r="J118" s="176"/>
      <c r="K118" s="176"/>
      <c r="L118" s="176"/>
      <c r="N118" s="174">
        <v>1.1</v>
      </c>
      <c r="O118" s="174">
        <v>0</v>
      </c>
      <c r="P118" s="174">
        <v>0.2</v>
      </c>
      <c r="Q118" s="174">
        <v>0</v>
      </c>
      <c r="R118" s="176"/>
      <c r="S118" s="176"/>
      <c r="T118" s="176"/>
      <c r="U118" s="174">
        <v>0</v>
      </c>
      <c r="V118" s="176"/>
      <c r="W118" s="176"/>
      <c r="X118" s="176"/>
      <c r="Z118" s="671"/>
      <c r="AA118" s="671"/>
      <c r="AB118" s="671">
        <v>2000</v>
      </c>
      <c r="AC118" s="671">
        <v>25</v>
      </c>
      <c r="AD118" s="672"/>
      <c r="AE118" s="672"/>
      <c r="AF118" s="672"/>
      <c r="AG118" s="673">
        <v>2000</v>
      </c>
      <c r="AH118" s="176"/>
      <c r="AI118" s="176"/>
      <c r="AJ118" s="176"/>
    </row>
    <row r="119" spans="1:36" ht="15">
      <c r="A119" s="55" t="s">
        <v>42</v>
      </c>
      <c r="B119" s="659"/>
      <c r="C119" s="659"/>
      <c r="D119" s="659"/>
      <c r="E119" s="659"/>
      <c r="F119" s="176"/>
      <c r="G119" s="176"/>
      <c r="H119" s="176"/>
      <c r="I119" s="660"/>
      <c r="J119" s="176"/>
      <c r="K119" s="176"/>
      <c r="L119" s="176"/>
      <c r="N119" s="660"/>
      <c r="O119" s="660"/>
      <c r="P119" s="660"/>
      <c r="Q119" s="660"/>
      <c r="R119" s="176"/>
      <c r="S119" s="176"/>
      <c r="T119" s="176"/>
      <c r="U119" s="660"/>
      <c r="V119" s="176"/>
      <c r="W119" s="176"/>
      <c r="X119" s="176"/>
      <c r="Z119" s="686"/>
      <c r="AA119" s="686"/>
      <c r="AB119" s="686"/>
      <c r="AC119" s="686"/>
      <c r="AD119" s="672"/>
      <c r="AE119" s="672"/>
      <c r="AF119" s="672"/>
      <c r="AG119" s="687"/>
      <c r="AH119" s="176"/>
      <c r="AI119" s="176"/>
      <c r="AJ119" s="176"/>
    </row>
    <row r="120" spans="1:36" ht="15">
      <c r="A120" s="212" t="s">
        <v>43</v>
      </c>
      <c r="B120" s="175">
        <v>11</v>
      </c>
      <c r="C120" s="175"/>
      <c r="D120" s="763">
        <v>0.005</v>
      </c>
      <c r="E120" s="175">
        <v>0</v>
      </c>
      <c r="F120" s="176"/>
      <c r="G120" s="176"/>
      <c r="H120" s="176"/>
      <c r="I120" s="174">
        <v>0.5</v>
      </c>
      <c r="J120" s="176"/>
      <c r="K120" s="176"/>
      <c r="L120" s="176"/>
      <c r="N120" s="174">
        <v>1.1</v>
      </c>
      <c r="O120" s="174">
        <v>0</v>
      </c>
      <c r="P120" s="174">
        <v>0.2</v>
      </c>
      <c r="Q120" s="174">
        <v>0</v>
      </c>
      <c r="R120" s="176"/>
      <c r="S120" s="176"/>
      <c r="T120" s="176"/>
      <c r="U120" s="174">
        <v>0</v>
      </c>
      <c r="V120" s="176"/>
      <c r="W120" s="176"/>
      <c r="X120" s="176"/>
      <c r="Z120" s="671">
        <v>10000</v>
      </c>
      <c r="AA120" s="671"/>
      <c r="AB120" s="671">
        <v>500</v>
      </c>
      <c r="AC120" s="671">
        <v>75</v>
      </c>
      <c r="AD120" s="672"/>
      <c r="AE120" s="672"/>
      <c r="AF120" s="672"/>
      <c r="AG120" s="673">
        <v>10000</v>
      </c>
      <c r="AH120" s="176"/>
      <c r="AI120" s="176"/>
      <c r="AJ120" s="176"/>
    </row>
    <row r="121" spans="1:36" ht="15">
      <c r="A121" s="261" t="s">
        <v>138</v>
      </c>
      <c r="B121" s="175">
        <v>11</v>
      </c>
      <c r="C121" s="175"/>
      <c r="D121" s="763">
        <v>0.005</v>
      </c>
      <c r="E121" s="175">
        <v>0</v>
      </c>
      <c r="F121" s="176"/>
      <c r="G121" s="176"/>
      <c r="H121" s="176"/>
      <c r="I121" s="174">
        <v>0.5</v>
      </c>
      <c r="J121" s="176"/>
      <c r="K121" s="176"/>
      <c r="L121" s="176"/>
      <c r="N121" s="174">
        <v>1.1</v>
      </c>
      <c r="O121" s="174">
        <v>0</v>
      </c>
      <c r="P121" s="174">
        <v>0.2</v>
      </c>
      <c r="Q121" s="174">
        <v>0</v>
      </c>
      <c r="R121" s="176"/>
      <c r="S121" s="176"/>
      <c r="T121" s="176"/>
      <c r="U121" s="174">
        <v>0</v>
      </c>
      <c r="V121" s="176"/>
      <c r="W121" s="176"/>
      <c r="X121" s="176"/>
      <c r="Z121" s="671">
        <v>5000</v>
      </c>
      <c r="AA121" s="671"/>
      <c r="AB121" s="671">
        <v>500</v>
      </c>
      <c r="AC121" s="671">
        <v>50</v>
      </c>
      <c r="AD121" s="672"/>
      <c r="AE121" s="672"/>
      <c r="AF121" s="672"/>
      <c r="AG121" s="673">
        <v>5000</v>
      </c>
      <c r="AH121" s="176"/>
      <c r="AI121" s="176"/>
      <c r="AJ121" s="176"/>
    </row>
    <row r="122" spans="1:36" ht="15">
      <c r="A122" s="224" t="s">
        <v>135</v>
      </c>
      <c r="B122" s="175"/>
      <c r="C122" s="175"/>
      <c r="D122" s="763"/>
      <c r="E122" s="175"/>
      <c r="F122" s="176"/>
      <c r="G122" s="176"/>
      <c r="H122" s="176"/>
      <c r="I122" s="174"/>
      <c r="J122" s="176"/>
      <c r="K122" s="176"/>
      <c r="L122" s="176"/>
      <c r="N122" s="174"/>
      <c r="O122" s="174"/>
      <c r="P122" s="174"/>
      <c r="Q122" s="174"/>
      <c r="R122" s="176"/>
      <c r="S122" s="176"/>
      <c r="T122" s="176"/>
      <c r="U122" s="174">
        <v>0</v>
      </c>
      <c r="V122" s="176"/>
      <c r="W122" s="176"/>
      <c r="X122" s="176"/>
      <c r="Z122" s="671">
        <v>0</v>
      </c>
      <c r="AA122" s="671"/>
      <c r="AB122" s="671"/>
      <c r="AC122" s="671">
        <v>0</v>
      </c>
      <c r="AD122" s="672"/>
      <c r="AE122" s="672"/>
      <c r="AF122" s="672"/>
      <c r="AG122" s="673"/>
      <c r="AH122" s="176"/>
      <c r="AI122" s="176"/>
      <c r="AJ122" s="176"/>
    </row>
    <row r="123" spans="1:36" ht="15">
      <c r="A123" s="225" t="s">
        <v>136</v>
      </c>
      <c r="B123" s="175">
        <v>11</v>
      </c>
      <c r="C123" s="175"/>
      <c r="D123" s="763">
        <v>0.005</v>
      </c>
      <c r="E123" s="175">
        <v>0</v>
      </c>
      <c r="F123" s="176"/>
      <c r="G123" s="176"/>
      <c r="H123" s="176"/>
      <c r="I123" s="174">
        <v>0.5</v>
      </c>
      <c r="J123" s="176"/>
      <c r="K123" s="176"/>
      <c r="L123" s="176"/>
      <c r="N123" s="174">
        <v>1.1</v>
      </c>
      <c r="O123" s="174">
        <v>0</v>
      </c>
      <c r="P123" s="174">
        <v>1.5</v>
      </c>
      <c r="Q123" s="174">
        <v>0</v>
      </c>
      <c r="R123" s="176"/>
      <c r="S123" s="176"/>
      <c r="T123" s="176"/>
      <c r="U123" s="174">
        <v>0</v>
      </c>
      <c r="V123" s="176"/>
      <c r="W123" s="176"/>
      <c r="X123" s="176"/>
      <c r="Z123" s="671">
        <v>5000</v>
      </c>
      <c r="AA123" s="671"/>
      <c r="AB123" s="671">
        <v>500</v>
      </c>
      <c r="AC123" s="671">
        <v>25</v>
      </c>
      <c r="AD123" s="672"/>
      <c r="AE123" s="672"/>
      <c r="AF123" s="672"/>
      <c r="AG123" s="673">
        <v>5000</v>
      </c>
      <c r="AH123" s="176"/>
      <c r="AI123" s="176"/>
      <c r="AJ123" s="176"/>
    </row>
    <row r="124" spans="1:36" ht="15">
      <c r="A124" s="48" t="s">
        <v>44</v>
      </c>
      <c r="B124" s="194">
        <v>11</v>
      </c>
      <c r="C124" s="194"/>
      <c r="D124" s="790">
        <v>0.005</v>
      </c>
      <c r="E124" s="194"/>
      <c r="F124" s="176"/>
      <c r="G124" s="176"/>
      <c r="H124" s="176"/>
      <c r="I124" s="174">
        <v>0.5</v>
      </c>
      <c r="J124" s="176"/>
      <c r="K124" s="176"/>
      <c r="L124" s="176"/>
      <c r="N124" s="194">
        <v>1.1</v>
      </c>
      <c r="O124" s="194"/>
      <c r="P124" s="194">
        <v>0.2</v>
      </c>
      <c r="Q124" s="194"/>
      <c r="R124" s="176"/>
      <c r="S124" s="176"/>
      <c r="T124" s="176"/>
      <c r="U124" s="174">
        <v>0</v>
      </c>
      <c r="V124" s="176"/>
      <c r="W124" s="176"/>
      <c r="X124" s="176"/>
      <c r="Z124" s="689">
        <v>10000</v>
      </c>
      <c r="AA124" s="689"/>
      <c r="AB124" s="689">
        <v>1000</v>
      </c>
      <c r="AC124" s="689">
        <v>100</v>
      </c>
      <c r="AD124" s="672"/>
      <c r="AE124" s="672"/>
      <c r="AF124" s="672"/>
      <c r="AG124" s="689">
        <v>10000</v>
      </c>
      <c r="AH124" s="176"/>
      <c r="AI124" s="176"/>
      <c r="AJ124" s="176"/>
    </row>
    <row r="125" spans="1:36" ht="15">
      <c r="A125" s="48" t="s">
        <v>45</v>
      </c>
      <c r="B125" s="175">
        <v>11</v>
      </c>
      <c r="C125" s="175"/>
      <c r="D125" s="763">
        <v>0.005</v>
      </c>
      <c r="E125" s="175">
        <v>0</v>
      </c>
      <c r="F125" s="176"/>
      <c r="G125" s="176"/>
      <c r="H125" s="176"/>
      <c r="I125" s="174">
        <v>0.5</v>
      </c>
      <c r="J125" s="176"/>
      <c r="K125" s="176"/>
      <c r="L125" s="176"/>
      <c r="N125" s="174">
        <v>1.1</v>
      </c>
      <c r="O125" s="174">
        <v>0</v>
      </c>
      <c r="P125" s="174">
        <v>0.2</v>
      </c>
      <c r="Q125" s="174">
        <v>0</v>
      </c>
      <c r="R125" s="176"/>
      <c r="S125" s="176"/>
      <c r="T125" s="176"/>
      <c r="U125" s="174">
        <v>0</v>
      </c>
      <c r="V125" s="176"/>
      <c r="W125" s="176"/>
      <c r="X125" s="176"/>
      <c r="Z125" s="671">
        <v>10000</v>
      </c>
      <c r="AA125" s="671"/>
      <c r="AB125" s="671">
        <v>1000</v>
      </c>
      <c r="AC125" s="671">
        <v>100</v>
      </c>
      <c r="AD125" s="672"/>
      <c r="AE125" s="672"/>
      <c r="AF125" s="672"/>
      <c r="AG125" s="671">
        <v>10000</v>
      </c>
      <c r="AH125" s="176"/>
      <c r="AI125" s="176"/>
      <c r="AJ125" s="176"/>
    </row>
    <row r="126" spans="1:36" ht="15">
      <c r="A126" s="57" t="s">
        <v>35</v>
      </c>
      <c r="B126" s="175">
        <v>11</v>
      </c>
      <c r="C126" s="175"/>
      <c r="D126" s="763">
        <v>0.005</v>
      </c>
      <c r="E126" s="175"/>
      <c r="F126" s="176"/>
      <c r="G126" s="176"/>
      <c r="H126" s="176"/>
      <c r="I126" s="174">
        <v>0.5</v>
      </c>
      <c r="J126" s="176"/>
      <c r="K126" s="176"/>
      <c r="L126" s="176"/>
      <c r="N126" s="174">
        <v>1.1</v>
      </c>
      <c r="O126" s="174"/>
      <c r="P126" s="174">
        <v>0.2</v>
      </c>
      <c r="Q126" s="174"/>
      <c r="R126" s="176"/>
      <c r="S126" s="176"/>
      <c r="T126" s="176"/>
      <c r="U126" s="174">
        <v>0</v>
      </c>
      <c r="V126" s="176"/>
      <c r="W126" s="176"/>
      <c r="X126" s="176"/>
      <c r="Z126" s="671">
        <v>10000</v>
      </c>
      <c r="AA126" s="671"/>
      <c r="AB126" s="671">
        <v>1000</v>
      </c>
      <c r="AC126" s="671">
        <v>100</v>
      </c>
      <c r="AD126" s="672"/>
      <c r="AE126" s="672"/>
      <c r="AF126" s="672"/>
      <c r="AG126" s="674">
        <v>10000</v>
      </c>
      <c r="AH126" s="176"/>
      <c r="AI126" s="176"/>
      <c r="AJ126" s="176"/>
    </row>
    <row r="127" spans="1:36" ht="15.75">
      <c r="A127" s="167" t="s">
        <v>114</v>
      </c>
      <c r="B127" s="178"/>
      <c r="C127" s="178"/>
      <c r="D127" s="178"/>
      <c r="E127" s="178"/>
      <c r="F127" s="178"/>
      <c r="G127" s="178"/>
      <c r="H127" s="178"/>
      <c r="I127" s="178"/>
      <c r="J127" s="178"/>
      <c r="K127" s="178"/>
      <c r="L127" s="178"/>
      <c r="N127" s="192" t="s">
        <v>113</v>
      </c>
      <c r="O127" s="178"/>
      <c r="P127" s="178"/>
      <c r="Q127" s="178"/>
      <c r="R127" s="178"/>
      <c r="S127" s="178"/>
      <c r="T127" s="178"/>
      <c r="U127" s="178"/>
      <c r="V127" s="178"/>
      <c r="W127" s="178"/>
      <c r="X127" s="178"/>
      <c r="Z127" s="688"/>
      <c r="AA127" s="688"/>
      <c r="AB127" s="688"/>
      <c r="AC127" s="688"/>
      <c r="AD127" s="688"/>
      <c r="AE127" s="688"/>
      <c r="AF127" s="688"/>
      <c r="AG127" s="688"/>
      <c r="AH127" s="178"/>
      <c r="AI127" s="178"/>
      <c r="AJ127" s="178"/>
    </row>
    <row r="128" spans="1:36" ht="15.75">
      <c r="A128" s="236" t="s">
        <v>112</v>
      </c>
      <c r="B128" s="176"/>
      <c r="C128" s="176"/>
      <c r="D128" s="176"/>
      <c r="E128" s="176"/>
      <c r="F128" s="176"/>
      <c r="G128" s="176"/>
      <c r="H128" s="176"/>
      <c r="I128" s="176"/>
      <c r="J128" s="176"/>
      <c r="K128" s="176"/>
      <c r="L128" s="176"/>
      <c r="N128" s="176"/>
      <c r="O128" s="176"/>
      <c r="P128" s="176"/>
      <c r="Q128" s="176"/>
      <c r="R128" s="176"/>
      <c r="S128" s="176"/>
      <c r="T128" s="176"/>
      <c r="U128" s="176"/>
      <c r="V128" s="176"/>
      <c r="W128" s="176"/>
      <c r="X128" s="176"/>
      <c r="Z128" s="672"/>
      <c r="AA128" s="672"/>
      <c r="AB128" s="672"/>
      <c r="AC128" s="672"/>
      <c r="AD128" s="672"/>
      <c r="AE128" s="672"/>
      <c r="AF128" s="672"/>
      <c r="AG128" s="672"/>
      <c r="AH128" s="176"/>
      <c r="AI128" s="176"/>
      <c r="AJ128" s="176"/>
    </row>
    <row r="129" spans="1:36" ht="15">
      <c r="A129" s="212" t="s">
        <v>9</v>
      </c>
      <c r="B129" s="176"/>
      <c r="C129" s="176"/>
      <c r="D129" s="176"/>
      <c r="E129" s="176"/>
      <c r="F129" s="176"/>
      <c r="G129" s="176"/>
      <c r="H129" s="176"/>
      <c r="I129" s="176"/>
      <c r="J129" s="176"/>
      <c r="K129" s="176"/>
      <c r="L129" s="176"/>
      <c r="N129" s="176"/>
      <c r="O129" s="176"/>
      <c r="P129" s="176"/>
      <c r="Q129" s="176"/>
      <c r="R129" s="176"/>
      <c r="S129" s="176"/>
      <c r="T129" s="176"/>
      <c r="U129" s="176"/>
      <c r="V129" s="176"/>
      <c r="W129" s="176"/>
      <c r="X129" s="176"/>
      <c r="Z129" s="672"/>
      <c r="AA129" s="672"/>
      <c r="AB129" s="672"/>
      <c r="AC129" s="672"/>
      <c r="AD129" s="672"/>
      <c r="AE129" s="672"/>
      <c r="AF129" s="672"/>
      <c r="AG129" s="672"/>
      <c r="AH129" s="176"/>
      <c r="AI129" s="176"/>
      <c r="AJ129" s="176"/>
    </row>
    <row r="130" spans="1:36" ht="15">
      <c r="A130" s="212" t="s">
        <v>13</v>
      </c>
      <c r="B130" s="176"/>
      <c r="C130" s="176"/>
      <c r="D130" s="176"/>
      <c r="E130" s="176"/>
      <c r="F130" s="176"/>
      <c r="G130" s="176"/>
      <c r="H130" s="176"/>
      <c r="I130" s="176"/>
      <c r="J130" s="176"/>
      <c r="K130" s="176"/>
      <c r="L130" s="176"/>
      <c r="N130" s="176"/>
      <c r="O130" s="176"/>
      <c r="P130" s="176"/>
      <c r="Q130" s="176"/>
      <c r="R130" s="176"/>
      <c r="S130" s="176"/>
      <c r="T130" s="176"/>
      <c r="U130" s="176"/>
      <c r="V130" s="176"/>
      <c r="W130" s="176"/>
      <c r="X130" s="176"/>
      <c r="Z130" s="672"/>
      <c r="AA130" s="672"/>
      <c r="AB130" s="672"/>
      <c r="AC130" s="672"/>
      <c r="AD130" s="672"/>
      <c r="AE130" s="672"/>
      <c r="AF130" s="672"/>
      <c r="AG130" s="672"/>
      <c r="AH130" s="176"/>
      <c r="AI130" s="176"/>
      <c r="AJ130" s="176"/>
    </row>
    <row r="131" spans="1:36" ht="15">
      <c r="A131" s="212" t="s">
        <v>10</v>
      </c>
      <c r="B131" s="174">
        <v>99.5</v>
      </c>
      <c r="C131" s="174">
        <v>0</v>
      </c>
      <c r="D131" s="174">
        <v>90</v>
      </c>
      <c r="E131" s="174">
        <v>0</v>
      </c>
      <c r="F131" s="176"/>
      <c r="G131" s="176"/>
      <c r="H131" s="176"/>
      <c r="I131" s="174">
        <v>99</v>
      </c>
      <c r="J131" s="176"/>
      <c r="K131" s="176"/>
      <c r="L131" s="176"/>
      <c r="N131" s="174">
        <f>0.5*90</f>
        <v>45</v>
      </c>
      <c r="O131" s="174">
        <v>0</v>
      </c>
      <c r="P131" s="174">
        <f>0.5*90</f>
        <v>45</v>
      </c>
      <c r="Q131" s="174">
        <v>0</v>
      </c>
      <c r="R131" s="176"/>
      <c r="S131" s="176"/>
      <c r="T131" s="176"/>
      <c r="U131" s="174">
        <v>0</v>
      </c>
      <c r="V131" s="176"/>
      <c r="W131" s="176"/>
      <c r="X131" s="176"/>
      <c r="Z131" s="174">
        <v>99.5</v>
      </c>
      <c r="AA131" s="174">
        <v>0</v>
      </c>
      <c r="AB131" s="174">
        <v>90</v>
      </c>
      <c r="AC131" s="174">
        <v>0</v>
      </c>
      <c r="AD131" s="176"/>
      <c r="AE131" s="176"/>
      <c r="AF131" s="176"/>
      <c r="AG131" s="174">
        <v>99</v>
      </c>
      <c r="AH131" s="176"/>
      <c r="AI131" s="176"/>
      <c r="AJ131" s="176"/>
    </row>
    <row r="132" spans="1:36" ht="15">
      <c r="A132" s="212" t="s">
        <v>11</v>
      </c>
      <c r="B132" s="174">
        <v>99.5</v>
      </c>
      <c r="C132" s="174">
        <v>0</v>
      </c>
      <c r="D132" s="174">
        <v>90</v>
      </c>
      <c r="E132" s="174">
        <v>0</v>
      </c>
      <c r="F132" s="176"/>
      <c r="G132" s="176"/>
      <c r="H132" s="176"/>
      <c r="I132" s="174">
        <v>95</v>
      </c>
      <c r="J132" s="176"/>
      <c r="K132" s="176"/>
      <c r="L132" s="176"/>
      <c r="N132" s="174">
        <f>0.3*80</f>
        <v>24</v>
      </c>
      <c r="O132" s="174">
        <v>0</v>
      </c>
      <c r="P132" s="174">
        <f>0.3*80</f>
        <v>24</v>
      </c>
      <c r="Q132" s="174">
        <v>0</v>
      </c>
      <c r="R132" s="176"/>
      <c r="S132" s="176"/>
      <c r="T132" s="176"/>
      <c r="U132" s="174">
        <v>0</v>
      </c>
      <c r="V132" s="176"/>
      <c r="W132" s="176"/>
      <c r="X132" s="176"/>
      <c r="Z132" s="174">
        <v>99.5</v>
      </c>
      <c r="AA132" s="174">
        <v>0</v>
      </c>
      <c r="AB132" s="174">
        <v>90</v>
      </c>
      <c r="AC132" s="174">
        <v>0</v>
      </c>
      <c r="AD132" s="176"/>
      <c r="AE132" s="176"/>
      <c r="AF132" s="176"/>
      <c r="AG132" s="174">
        <v>95</v>
      </c>
      <c r="AH132" s="176"/>
      <c r="AI132" s="176"/>
      <c r="AJ132" s="176"/>
    </row>
    <row r="133" spans="1:36" ht="15">
      <c r="A133" s="212" t="s">
        <v>12</v>
      </c>
      <c r="B133" s="174">
        <v>95</v>
      </c>
      <c r="C133" s="174">
        <v>0</v>
      </c>
      <c r="D133" s="174">
        <v>90</v>
      </c>
      <c r="E133" s="174">
        <v>0</v>
      </c>
      <c r="F133" s="176"/>
      <c r="G133" s="176"/>
      <c r="H133" s="176"/>
      <c r="I133" s="174">
        <v>90</v>
      </c>
      <c r="J133" s="176"/>
      <c r="K133" s="176"/>
      <c r="L133" s="176"/>
      <c r="N133" s="174">
        <v>0</v>
      </c>
      <c r="O133" s="174">
        <v>0</v>
      </c>
      <c r="P133" s="174">
        <v>0</v>
      </c>
      <c r="Q133" s="174">
        <v>0</v>
      </c>
      <c r="R133" s="176"/>
      <c r="S133" s="176"/>
      <c r="T133" s="176"/>
      <c r="U133" s="174">
        <v>0</v>
      </c>
      <c r="V133" s="176"/>
      <c r="W133" s="176"/>
      <c r="X133" s="176"/>
      <c r="Z133" s="174">
        <v>95</v>
      </c>
      <c r="AA133" s="174">
        <v>0</v>
      </c>
      <c r="AB133" s="174">
        <v>90</v>
      </c>
      <c r="AC133" s="174">
        <v>0</v>
      </c>
      <c r="AD133" s="176"/>
      <c r="AE133" s="176"/>
      <c r="AF133" s="176"/>
      <c r="AG133" s="174">
        <v>90</v>
      </c>
      <c r="AH133" s="176"/>
      <c r="AI133" s="176"/>
      <c r="AJ133" s="176"/>
    </row>
    <row r="134" spans="1:36" ht="15">
      <c r="A134" s="247" t="s">
        <v>229</v>
      </c>
      <c r="B134" s="174">
        <v>90</v>
      </c>
      <c r="C134" s="174"/>
      <c r="D134" s="174">
        <v>60</v>
      </c>
      <c r="E134" s="174"/>
      <c r="F134" s="176"/>
      <c r="G134" s="176"/>
      <c r="H134" s="176"/>
      <c r="I134" s="174">
        <v>90</v>
      </c>
      <c r="J134" s="176"/>
      <c r="K134" s="176"/>
      <c r="L134" s="176"/>
      <c r="N134" s="174">
        <v>0</v>
      </c>
      <c r="O134" s="174">
        <v>0</v>
      </c>
      <c r="P134" s="174"/>
      <c r="Q134" s="174"/>
      <c r="R134" s="176"/>
      <c r="S134" s="176"/>
      <c r="T134" s="176"/>
      <c r="U134" s="174"/>
      <c r="V134" s="176"/>
      <c r="W134" s="176"/>
      <c r="X134" s="176"/>
      <c r="Z134" s="174">
        <v>90</v>
      </c>
      <c r="AA134" s="174"/>
      <c r="AB134" s="174">
        <v>60</v>
      </c>
      <c r="AC134" s="174"/>
      <c r="AD134" s="176"/>
      <c r="AE134" s="176"/>
      <c r="AF134" s="176"/>
      <c r="AG134" s="174">
        <v>90</v>
      </c>
      <c r="AH134" s="176"/>
      <c r="AI134" s="176"/>
      <c r="AJ134" s="176"/>
    </row>
    <row r="135" spans="1:36" ht="15">
      <c r="A135" s="212" t="s">
        <v>14</v>
      </c>
      <c r="B135" s="174">
        <v>90</v>
      </c>
      <c r="C135" s="174">
        <v>0</v>
      </c>
      <c r="D135" s="174">
        <v>90</v>
      </c>
      <c r="E135" s="174">
        <v>0</v>
      </c>
      <c r="F135" s="176"/>
      <c r="G135" s="176"/>
      <c r="H135" s="176"/>
      <c r="I135" s="174">
        <v>90</v>
      </c>
      <c r="J135" s="176"/>
      <c r="K135" s="176"/>
      <c r="L135" s="176"/>
      <c r="N135" s="174">
        <v>80</v>
      </c>
      <c r="O135" s="174">
        <v>0</v>
      </c>
      <c r="P135" s="174"/>
      <c r="Q135" s="174">
        <v>0</v>
      </c>
      <c r="R135" s="176"/>
      <c r="S135" s="176"/>
      <c r="T135" s="176"/>
      <c r="U135" s="174">
        <v>0</v>
      </c>
      <c r="V135" s="176"/>
      <c r="W135" s="176"/>
      <c r="X135" s="176"/>
      <c r="Z135" s="174">
        <v>90</v>
      </c>
      <c r="AA135" s="174">
        <v>0</v>
      </c>
      <c r="AB135" s="174">
        <v>90</v>
      </c>
      <c r="AC135" s="174">
        <v>0</v>
      </c>
      <c r="AD135" s="176"/>
      <c r="AE135" s="176"/>
      <c r="AF135" s="176"/>
      <c r="AG135" s="174">
        <v>90</v>
      </c>
      <c r="AH135" s="176"/>
      <c r="AI135" s="176"/>
      <c r="AJ135" s="176"/>
    </row>
    <row r="136" spans="1:36" ht="15">
      <c r="A136" s="247" t="s">
        <v>232</v>
      </c>
      <c r="B136" s="174">
        <v>99</v>
      </c>
      <c r="C136" s="174">
        <v>99</v>
      </c>
      <c r="D136" s="174">
        <v>90</v>
      </c>
      <c r="E136" s="174">
        <v>0</v>
      </c>
      <c r="F136" s="176"/>
      <c r="G136" s="176"/>
      <c r="H136" s="176"/>
      <c r="I136" s="174">
        <v>90</v>
      </c>
      <c r="J136" s="176"/>
      <c r="K136" s="176"/>
      <c r="L136" s="176"/>
      <c r="N136" s="174">
        <v>90</v>
      </c>
      <c r="O136" s="174">
        <v>90</v>
      </c>
      <c r="P136" s="174">
        <v>90</v>
      </c>
      <c r="Q136" s="174">
        <v>0</v>
      </c>
      <c r="R136" s="176"/>
      <c r="S136" s="176"/>
      <c r="T136" s="176"/>
      <c r="U136" s="174">
        <v>0</v>
      </c>
      <c r="V136" s="176"/>
      <c r="W136" s="176"/>
      <c r="X136" s="176"/>
      <c r="Z136" s="174">
        <v>99</v>
      </c>
      <c r="AA136" s="174">
        <v>99</v>
      </c>
      <c r="AB136" s="174">
        <v>90</v>
      </c>
      <c r="AC136" s="174">
        <v>0</v>
      </c>
      <c r="AD136" s="176"/>
      <c r="AE136" s="176"/>
      <c r="AF136" s="176"/>
      <c r="AG136" s="174">
        <v>90</v>
      </c>
      <c r="AH136" s="176"/>
      <c r="AI136" s="176"/>
      <c r="AJ136" s="176"/>
    </row>
    <row r="137" spans="1:36" ht="15">
      <c r="A137" s="212" t="s">
        <v>233</v>
      </c>
      <c r="B137" s="174">
        <v>99</v>
      </c>
      <c r="C137" s="174">
        <v>99</v>
      </c>
      <c r="D137" s="174">
        <v>99</v>
      </c>
      <c r="E137" s="174"/>
      <c r="F137" s="176"/>
      <c r="G137" s="176"/>
      <c r="H137" s="176"/>
      <c r="I137" s="174">
        <v>99</v>
      </c>
      <c r="J137" s="176"/>
      <c r="K137" s="176"/>
      <c r="L137" s="176"/>
      <c r="N137" s="174">
        <v>90</v>
      </c>
      <c r="O137" s="174">
        <v>90</v>
      </c>
      <c r="P137" s="174">
        <v>90</v>
      </c>
      <c r="Q137" s="174"/>
      <c r="R137" s="176"/>
      <c r="S137" s="176"/>
      <c r="T137" s="176"/>
      <c r="U137" s="174"/>
      <c r="V137" s="176"/>
      <c r="W137" s="176"/>
      <c r="X137" s="176"/>
      <c r="Z137" s="174">
        <v>99</v>
      </c>
      <c r="AA137" s="174">
        <v>99</v>
      </c>
      <c r="AB137" s="174">
        <v>99</v>
      </c>
      <c r="AC137" s="174"/>
      <c r="AD137" s="176"/>
      <c r="AE137" s="176"/>
      <c r="AF137" s="176"/>
      <c r="AG137" s="174">
        <v>99</v>
      </c>
      <c r="AH137" s="176"/>
      <c r="AI137" s="176"/>
      <c r="AJ137" s="176"/>
    </row>
    <row r="138" spans="1:36" ht="15">
      <c r="A138" s="212" t="s">
        <v>231</v>
      </c>
      <c r="B138" s="174">
        <v>90</v>
      </c>
      <c r="C138" s="174">
        <v>0</v>
      </c>
      <c r="D138" s="174">
        <v>75</v>
      </c>
      <c r="E138" s="174">
        <v>0</v>
      </c>
      <c r="F138" s="176"/>
      <c r="G138" s="176"/>
      <c r="H138" s="176"/>
      <c r="I138" s="174">
        <v>75</v>
      </c>
      <c r="J138" s="176"/>
      <c r="K138" s="176"/>
      <c r="L138" s="176"/>
      <c r="N138" s="174">
        <v>0</v>
      </c>
      <c r="O138" s="174">
        <v>0</v>
      </c>
      <c r="P138" s="174">
        <v>0</v>
      </c>
      <c r="Q138" s="174">
        <v>0</v>
      </c>
      <c r="R138" s="176"/>
      <c r="S138" s="176"/>
      <c r="T138" s="176"/>
      <c r="U138" s="174">
        <v>0</v>
      </c>
      <c r="V138" s="176"/>
      <c r="W138" s="176"/>
      <c r="X138" s="176"/>
      <c r="Z138" s="174">
        <v>90</v>
      </c>
      <c r="AA138" s="174">
        <v>0</v>
      </c>
      <c r="AB138" s="174">
        <v>75</v>
      </c>
      <c r="AC138" s="174">
        <v>0</v>
      </c>
      <c r="AD138" s="176"/>
      <c r="AE138" s="176"/>
      <c r="AF138" s="176"/>
      <c r="AG138" s="174">
        <v>75</v>
      </c>
      <c r="AH138" s="176"/>
      <c r="AI138" s="176"/>
      <c r="AJ138" s="176"/>
    </row>
    <row r="139" spans="1:36" ht="15">
      <c r="A139" s="212" t="s">
        <v>17</v>
      </c>
      <c r="B139" s="174">
        <v>75</v>
      </c>
      <c r="C139" s="174">
        <v>0</v>
      </c>
      <c r="D139" s="174">
        <v>0</v>
      </c>
      <c r="E139" s="174">
        <v>0</v>
      </c>
      <c r="F139" s="176"/>
      <c r="G139" s="176"/>
      <c r="H139" s="176"/>
      <c r="I139" s="174">
        <v>90</v>
      </c>
      <c r="J139" s="176"/>
      <c r="K139" s="176"/>
      <c r="L139" s="176"/>
      <c r="N139" s="174">
        <v>0</v>
      </c>
      <c r="O139" s="174">
        <v>0</v>
      </c>
      <c r="P139" s="174">
        <v>0</v>
      </c>
      <c r="Q139" s="174">
        <v>0</v>
      </c>
      <c r="R139" s="176"/>
      <c r="S139" s="176"/>
      <c r="T139" s="176"/>
      <c r="U139" s="174">
        <v>0</v>
      </c>
      <c r="V139" s="176"/>
      <c r="W139" s="176"/>
      <c r="X139" s="176"/>
      <c r="Z139" s="174">
        <v>75</v>
      </c>
      <c r="AA139" s="174">
        <v>0</v>
      </c>
      <c r="AB139" s="174">
        <v>0</v>
      </c>
      <c r="AC139" s="174">
        <v>0</v>
      </c>
      <c r="AD139" s="176"/>
      <c r="AE139" s="176"/>
      <c r="AF139" s="176"/>
      <c r="AG139" s="174">
        <v>90</v>
      </c>
      <c r="AH139" s="176"/>
      <c r="AI139" s="176"/>
      <c r="AJ139" s="176"/>
    </row>
    <row r="140" spans="1:36" ht="15">
      <c r="A140" s="212" t="s">
        <v>18</v>
      </c>
      <c r="B140" s="174">
        <v>75</v>
      </c>
      <c r="C140" s="174">
        <v>0</v>
      </c>
      <c r="D140" s="174">
        <v>0</v>
      </c>
      <c r="E140" s="174">
        <v>0</v>
      </c>
      <c r="F140" s="176"/>
      <c r="G140" s="176"/>
      <c r="H140" s="176"/>
      <c r="I140" s="174">
        <v>90</v>
      </c>
      <c r="J140" s="176"/>
      <c r="K140" s="176"/>
      <c r="L140" s="176"/>
      <c r="N140" s="174">
        <v>0</v>
      </c>
      <c r="O140" s="174">
        <v>0</v>
      </c>
      <c r="P140" s="174">
        <v>0</v>
      </c>
      <c r="Q140" s="174">
        <v>0</v>
      </c>
      <c r="R140" s="176"/>
      <c r="S140" s="176"/>
      <c r="T140" s="176"/>
      <c r="U140" s="174">
        <v>0</v>
      </c>
      <c r="V140" s="176"/>
      <c r="W140" s="176"/>
      <c r="X140" s="176"/>
      <c r="Z140" s="174">
        <v>75</v>
      </c>
      <c r="AA140" s="174">
        <v>0</v>
      </c>
      <c r="AB140" s="174">
        <v>0</v>
      </c>
      <c r="AC140" s="174">
        <v>0</v>
      </c>
      <c r="AD140" s="176"/>
      <c r="AE140" s="176"/>
      <c r="AF140" s="176"/>
      <c r="AG140" s="174">
        <v>90</v>
      </c>
      <c r="AH140" s="176"/>
      <c r="AI140" s="176"/>
      <c r="AJ140" s="176"/>
    </row>
    <row r="141" spans="1:36" ht="15">
      <c r="A141" s="212" t="s">
        <v>19</v>
      </c>
      <c r="B141" s="174">
        <v>99.5</v>
      </c>
      <c r="C141" s="174">
        <v>50</v>
      </c>
      <c r="D141" s="174">
        <v>90</v>
      </c>
      <c r="E141" s="174">
        <v>0</v>
      </c>
      <c r="F141" s="176"/>
      <c r="G141" s="176"/>
      <c r="H141" s="176"/>
      <c r="I141" s="174">
        <v>95</v>
      </c>
      <c r="J141" s="176"/>
      <c r="K141" s="176"/>
      <c r="L141" s="176"/>
      <c r="N141" s="174">
        <f>0.5*90</f>
        <v>45</v>
      </c>
      <c r="O141" s="174">
        <v>0</v>
      </c>
      <c r="P141" s="174"/>
      <c r="Q141" s="174">
        <v>0</v>
      </c>
      <c r="R141" s="176"/>
      <c r="S141" s="176"/>
      <c r="T141" s="176"/>
      <c r="U141" s="174">
        <v>0</v>
      </c>
      <c r="V141" s="176"/>
      <c r="W141" s="176"/>
      <c r="X141" s="176"/>
      <c r="Z141" s="174">
        <v>99.5</v>
      </c>
      <c r="AA141" s="174">
        <v>50</v>
      </c>
      <c r="AB141" s="174">
        <v>90</v>
      </c>
      <c r="AC141" s="174">
        <v>0</v>
      </c>
      <c r="AD141" s="176"/>
      <c r="AE141" s="176"/>
      <c r="AF141" s="176"/>
      <c r="AG141" s="174">
        <v>95</v>
      </c>
      <c r="AH141" s="176"/>
      <c r="AI141" s="176"/>
      <c r="AJ141" s="176"/>
    </row>
    <row r="142" spans="1:36" ht="15">
      <c r="A142" s="237" t="s">
        <v>20</v>
      </c>
      <c r="B142" s="174">
        <v>0</v>
      </c>
      <c r="C142" s="174">
        <v>0</v>
      </c>
      <c r="D142" s="174">
        <v>0</v>
      </c>
      <c r="E142" s="174">
        <v>0</v>
      </c>
      <c r="F142" s="176"/>
      <c r="G142" s="176"/>
      <c r="H142" s="176"/>
      <c r="I142" s="174">
        <v>0</v>
      </c>
      <c r="J142" s="176"/>
      <c r="K142" s="176"/>
      <c r="L142" s="176"/>
      <c r="N142" s="174">
        <v>0</v>
      </c>
      <c r="O142" s="174">
        <v>0</v>
      </c>
      <c r="P142" s="174">
        <v>0</v>
      </c>
      <c r="Q142" s="174">
        <v>0</v>
      </c>
      <c r="R142" s="176"/>
      <c r="S142" s="176"/>
      <c r="T142" s="176"/>
      <c r="U142" s="174">
        <v>0</v>
      </c>
      <c r="V142" s="176"/>
      <c r="W142" s="176"/>
      <c r="X142" s="176"/>
      <c r="Z142" s="174">
        <v>0</v>
      </c>
      <c r="AA142" s="174">
        <v>0</v>
      </c>
      <c r="AB142" s="174">
        <v>0</v>
      </c>
      <c r="AC142" s="174">
        <v>0</v>
      </c>
      <c r="AD142" s="176"/>
      <c r="AE142" s="176"/>
      <c r="AF142" s="176"/>
      <c r="AG142" s="174">
        <v>0</v>
      </c>
      <c r="AH142" s="176"/>
      <c r="AI142" s="176"/>
      <c r="AJ142" s="176"/>
    </row>
    <row r="143" spans="1:36" ht="15.75" thickBot="1">
      <c r="A143" s="212"/>
      <c r="B143" s="176"/>
      <c r="C143" s="176"/>
      <c r="D143" s="176"/>
      <c r="E143" s="176"/>
      <c r="F143" s="176"/>
      <c r="G143" s="176"/>
      <c r="H143" s="176"/>
      <c r="I143" s="176"/>
      <c r="J143" s="176"/>
      <c r="K143" s="176"/>
      <c r="L143" s="176"/>
      <c r="N143" s="176"/>
      <c r="O143" s="176"/>
      <c r="P143" s="176"/>
      <c r="Q143" s="176"/>
      <c r="R143" s="176"/>
      <c r="S143" s="176"/>
      <c r="T143" s="176"/>
      <c r="U143" s="176"/>
      <c r="V143" s="176"/>
      <c r="W143" s="176"/>
      <c r="X143" s="176"/>
      <c r="Z143" s="176"/>
      <c r="AA143" s="176"/>
      <c r="AB143" s="176"/>
      <c r="AC143" s="176"/>
      <c r="AD143" s="176"/>
      <c r="AE143" s="176"/>
      <c r="AF143" s="176"/>
      <c r="AG143" s="176"/>
      <c r="AH143" s="176"/>
      <c r="AI143" s="176"/>
      <c r="AJ143" s="176"/>
    </row>
    <row r="144" spans="1:36" ht="16.5" thickBot="1">
      <c r="A144" s="238" t="s">
        <v>21</v>
      </c>
      <c r="B144" s="176"/>
      <c r="C144" s="176"/>
      <c r="D144" s="176"/>
      <c r="E144" s="176"/>
      <c r="F144" s="176"/>
      <c r="G144" s="176"/>
      <c r="H144" s="176"/>
      <c r="I144" s="176"/>
      <c r="J144" s="176"/>
      <c r="K144" s="176"/>
      <c r="L144" s="176"/>
      <c r="N144" s="176"/>
      <c r="O144" s="176"/>
      <c r="P144" s="176"/>
      <c r="Q144" s="176"/>
      <c r="R144" s="176"/>
      <c r="S144" s="176"/>
      <c r="T144" s="176"/>
      <c r="U144" s="176"/>
      <c r="V144" s="176"/>
      <c r="W144" s="176"/>
      <c r="X144" s="176"/>
      <c r="Z144" s="176"/>
      <c r="AA144" s="176"/>
      <c r="AB144" s="176"/>
      <c r="AC144" s="176"/>
      <c r="AD144" s="176"/>
      <c r="AE144" s="176"/>
      <c r="AF144" s="176"/>
      <c r="AG144" s="176"/>
      <c r="AH144" s="176"/>
      <c r="AI144" s="176"/>
      <c r="AJ144" s="176"/>
    </row>
    <row r="145" spans="1:36" ht="15">
      <c r="A145" s="234" t="s">
        <v>22</v>
      </c>
      <c r="B145" s="176"/>
      <c r="C145" s="176"/>
      <c r="D145" s="176"/>
      <c r="E145" s="176"/>
      <c r="F145" s="176"/>
      <c r="G145" s="176"/>
      <c r="H145" s="176"/>
      <c r="I145" s="176"/>
      <c r="J145" s="176"/>
      <c r="K145" s="176"/>
      <c r="L145" s="176"/>
      <c r="N145" s="176"/>
      <c r="O145" s="176"/>
      <c r="P145" s="176"/>
      <c r="Q145" s="176"/>
      <c r="R145" s="176"/>
      <c r="S145" s="176"/>
      <c r="T145" s="176"/>
      <c r="U145" s="176"/>
      <c r="V145" s="176"/>
      <c r="W145" s="176"/>
      <c r="X145" s="176"/>
      <c r="Z145" s="176"/>
      <c r="AA145" s="176"/>
      <c r="AB145" s="176"/>
      <c r="AC145" s="176"/>
      <c r="AD145" s="176"/>
      <c r="AE145" s="176"/>
      <c r="AF145" s="176"/>
      <c r="AG145" s="176"/>
      <c r="AH145" s="176"/>
      <c r="AI145" s="176"/>
      <c r="AJ145" s="176"/>
    </row>
    <row r="146" spans="1:36" ht="15">
      <c r="A146" s="212" t="s">
        <v>23</v>
      </c>
      <c r="B146" s="174">
        <v>90</v>
      </c>
      <c r="C146" s="174">
        <v>0</v>
      </c>
      <c r="D146" s="174">
        <v>50</v>
      </c>
      <c r="E146" s="174">
        <v>0</v>
      </c>
      <c r="F146" s="176"/>
      <c r="G146" s="176"/>
      <c r="H146" s="176"/>
      <c r="I146" s="174">
        <v>90</v>
      </c>
      <c r="J146" s="176"/>
      <c r="K146" s="176"/>
      <c r="L146" s="176"/>
      <c r="N146" s="174">
        <v>0</v>
      </c>
      <c r="O146" s="174">
        <v>0</v>
      </c>
      <c r="P146" s="174">
        <v>0</v>
      </c>
      <c r="Q146" s="174">
        <v>0</v>
      </c>
      <c r="R146" s="176"/>
      <c r="S146" s="176"/>
      <c r="T146" s="176"/>
      <c r="U146" s="174">
        <v>0</v>
      </c>
      <c r="V146" s="176"/>
      <c r="W146" s="176"/>
      <c r="X146" s="176"/>
      <c r="Z146" s="174">
        <v>90</v>
      </c>
      <c r="AA146" s="174">
        <v>0</v>
      </c>
      <c r="AB146" s="174">
        <v>50</v>
      </c>
      <c r="AC146" s="174">
        <v>0</v>
      </c>
      <c r="AD146" s="176"/>
      <c r="AE146" s="176"/>
      <c r="AF146" s="176"/>
      <c r="AG146" s="174">
        <v>90</v>
      </c>
      <c r="AH146" s="176"/>
      <c r="AI146" s="176"/>
      <c r="AJ146" s="176"/>
    </row>
    <row r="147" spans="1:36" ht="15">
      <c r="A147" s="212" t="s">
        <v>24</v>
      </c>
      <c r="B147" s="174">
        <v>95</v>
      </c>
      <c r="C147" s="174">
        <v>0</v>
      </c>
      <c r="D147" s="174">
        <v>50</v>
      </c>
      <c r="E147" s="174">
        <v>0</v>
      </c>
      <c r="F147" s="176"/>
      <c r="G147" s="176"/>
      <c r="H147" s="176"/>
      <c r="I147" s="174">
        <v>95</v>
      </c>
      <c r="J147" s="176"/>
      <c r="K147" s="176"/>
      <c r="L147" s="176"/>
      <c r="N147" s="174">
        <v>0</v>
      </c>
      <c r="O147" s="174">
        <v>0</v>
      </c>
      <c r="P147" s="174">
        <v>0</v>
      </c>
      <c r="Q147" s="174">
        <v>0</v>
      </c>
      <c r="R147" s="176"/>
      <c r="S147" s="176"/>
      <c r="T147" s="176"/>
      <c r="U147" s="174">
        <v>0</v>
      </c>
      <c r="V147" s="176"/>
      <c r="W147" s="176"/>
      <c r="X147" s="176"/>
      <c r="Z147" s="174">
        <v>95</v>
      </c>
      <c r="AA147" s="174">
        <v>0</v>
      </c>
      <c r="AB147" s="174">
        <v>50</v>
      </c>
      <c r="AC147" s="174">
        <v>0</v>
      </c>
      <c r="AD147" s="176"/>
      <c r="AE147" s="176"/>
      <c r="AF147" s="176"/>
      <c r="AG147" s="174">
        <v>95</v>
      </c>
      <c r="AH147" s="176"/>
      <c r="AI147" s="176"/>
      <c r="AJ147" s="176"/>
    </row>
    <row r="148" spans="1:36" ht="15">
      <c r="A148" s="212" t="s">
        <v>25</v>
      </c>
      <c r="B148" s="174">
        <v>90</v>
      </c>
      <c r="C148" s="174">
        <v>0</v>
      </c>
      <c r="D148" s="174">
        <v>50</v>
      </c>
      <c r="E148" s="174">
        <v>0</v>
      </c>
      <c r="F148" s="176"/>
      <c r="G148" s="176"/>
      <c r="H148" s="176"/>
      <c r="I148" s="174">
        <v>90</v>
      </c>
      <c r="J148" s="176"/>
      <c r="K148" s="176"/>
      <c r="L148" s="176"/>
      <c r="N148" s="174">
        <v>0</v>
      </c>
      <c r="O148" s="174">
        <v>0</v>
      </c>
      <c r="P148" s="174">
        <v>0</v>
      </c>
      <c r="Q148" s="174">
        <v>0</v>
      </c>
      <c r="R148" s="176"/>
      <c r="S148" s="176"/>
      <c r="T148" s="176"/>
      <c r="U148" s="174">
        <v>0</v>
      </c>
      <c r="V148" s="176"/>
      <c r="W148" s="176"/>
      <c r="X148" s="176"/>
      <c r="Z148" s="174">
        <v>90</v>
      </c>
      <c r="AA148" s="174">
        <v>0</v>
      </c>
      <c r="AB148" s="174">
        <v>50</v>
      </c>
      <c r="AC148" s="174">
        <v>0</v>
      </c>
      <c r="AD148" s="176"/>
      <c r="AE148" s="176"/>
      <c r="AF148" s="176"/>
      <c r="AG148" s="174">
        <v>90</v>
      </c>
      <c r="AH148" s="176"/>
      <c r="AI148" s="176"/>
      <c r="AJ148" s="176"/>
    </row>
    <row r="149" spans="1:36" ht="15">
      <c r="A149" s="212" t="s">
        <v>26</v>
      </c>
      <c r="B149" s="174">
        <v>90</v>
      </c>
      <c r="C149" s="174">
        <v>0</v>
      </c>
      <c r="D149" s="174">
        <v>50</v>
      </c>
      <c r="E149" s="174">
        <v>0</v>
      </c>
      <c r="F149" s="176"/>
      <c r="G149" s="176"/>
      <c r="H149" s="176"/>
      <c r="I149" s="174">
        <v>90</v>
      </c>
      <c r="J149" s="176"/>
      <c r="K149" s="176"/>
      <c r="L149" s="176"/>
      <c r="N149" s="174">
        <v>0</v>
      </c>
      <c r="O149" s="174">
        <v>0</v>
      </c>
      <c r="P149" s="174">
        <v>0</v>
      </c>
      <c r="Q149" s="174">
        <v>0</v>
      </c>
      <c r="R149" s="176"/>
      <c r="S149" s="176"/>
      <c r="T149" s="176"/>
      <c r="U149" s="174">
        <v>0</v>
      </c>
      <c r="V149" s="176"/>
      <c r="W149" s="176"/>
      <c r="X149" s="176"/>
      <c r="Z149" s="174">
        <v>90</v>
      </c>
      <c r="AA149" s="174">
        <v>0</v>
      </c>
      <c r="AB149" s="174">
        <v>50</v>
      </c>
      <c r="AC149" s="174">
        <v>0</v>
      </c>
      <c r="AD149" s="176"/>
      <c r="AE149" s="176"/>
      <c r="AF149" s="176"/>
      <c r="AG149" s="174">
        <v>75</v>
      </c>
      <c r="AH149" s="176"/>
      <c r="AI149" s="176"/>
      <c r="AJ149" s="176"/>
    </row>
    <row r="150" spans="1:36" ht="15">
      <c r="A150" s="212" t="s">
        <v>27</v>
      </c>
      <c r="B150" s="174">
        <v>90</v>
      </c>
      <c r="C150" s="174">
        <v>0</v>
      </c>
      <c r="D150" s="174">
        <v>50</v>
      </c>
      <c r="E150" s="174">
        <v>0</v>
      </c>
      <c r="F150" s="176"/>
      <c r="G150" s="176"/>
      <c r="H150" s="176"/>
      <c r="I150" s="174">
        <v>90</v>
      </c>
      <c r="J150" s="176"/>
      <c r="K150" s="176"/>
      <c r="L150" s="176"/>
      <c r="N150" s="174">
        <v>0</v>
      </c>
      <c r="O150" s="174">
        <v>0</v>
      </c>
      <c r="P150" s="174">
        <v>0</v>
      </c>
      <c r="Q150" s="174">
        <v>0</v>
      </c>
      <c r="R150" s="176"/>
      <c r="S150" s="176"/>
      <c r="T150" s="176"/>
      <c r="U150" s="174">
        <v>0</v>
      </c>
      <c r="V150" s="176"/>
      <c r="W150" s="176"/>
      <c r="X150" s="176"/>
      <c r="Z150" s="174">
        <v>75</v>
      </c>
      <c r="AA150" s="174">
        <v>0</v>
      </c>
      <c r="AB150" s="174">
        <v>50</v>
      </c>
      <c r="AC150" s="174">
        <v>0</v>
      </c>
      <c r="AD150" s="176"/>
      <c r="AE150" s="176"/>
      <c r="AF150" s="176"/>
      <c r="AG150" s="174">
        <v>75</v>
      </c>
      <c r="AH150" s="176"/>
      <c r="AI150" s="176"/>
      <c r="AJ150" s="176"/>
    </row>
    <row r="151" spans="1:36" ht="15">
      <c r="A151" s="212" t="s">
        <v>28</v>
      </c>
      <c r="B151" s="174">
        <v>90</v>
      </c>
      <c r="C151" s="174">
        <v>0</v>
      </c>
      <c r="D151" s="174">
        <v>50</v>
      </c>
      <c r="E151" s="174">
        <v>0</v>
      </c>
      <c r="F151" s="176"/>
      <c r="G151" s="176"/>
      <c r="H151" s="176"/>
      <c r="I151" s="174">
        <v>90</v>
      </c>
      <c r="J151" s="176"/>
      <c r="K151" s="176"/>
      <c r="L151" s="176"/>
      <c r="N151" s="174">
        <v>0</v>
      </c>
      <c r="O151" s="174">
        <v>0</v>
      </c>
      <c r="P151" s="174">
        <v>0</v>
      </c>
      <c r="Q151" s="174">
        <v>0</v>
      </c>
      <c r="R151" s="176"/>
      <c r="S151" s="176"/>
      <c r="T151" s="176"/>
      <c r="U151" s="174">
        <v>0</v>
      </c>
      <c r="V151" s="176"/>
      <c r="W151" s="176"/>
      <c r="X151" s="176"/>
      <c r="Z151" s="174">
        <v>75</v>
      </c>
      <c r="AA151" s="174">
        <v>0</v>
      </c>
      <c r="AB151" s="174">
        <v>50</v>
      </c>
      <c r="AC151" s="174">
        <v>0</v>
      </c>
      <c r="AD151" s="176"/>
      <c r="AE151" s="176"/>
      <c r="AF151" s="176"/>
      <c r="AG151" s="174">
        <v>75</v>
      </c>
      <c r="AH151" s="176"/>
      <c r="AI151" s="176"/>
      <c r="AJ151" s="176"/>
    </row>
    <row r="152" spans="1:36" ht="15">
      <c r="A152" s="212" t="s">
        <v>29</v>
      </c>
      <c r="B152" s="174">
        <v>75</v>
      </c>
      <c r="C152" s="174">
        <v>0</v>
      </c>
      <c r="D152" s="174">
        <v>50</v>
      </c>
      <c r="E152" s="174">
        <v>0</v>
      </c>
      <c r="F152" s="176"/>
      <c r="G152" s="176"/>
      <c r="H152" s="176"/>
      <c r="I152" s="174">
        <v>75</v>
      </c>
      <c r="J152" s="176"/>
      <c r="K152" s="176"/>
      <c r="L152" s="176"/>
      <c r="N152" s="174">
        <v>0</v>
      </c>
      <c r="O152" s="174">
        <v>0</v>
      </c>
      <c r="P152" s="174">
        <v>0</v>
      </c>
      <c r="Q152" s="174">
        <v>0</v>
      </c>
      <c r="R152" s="176"/>
      <c r="S152" s="176"/>
      <c r="T152" s="176"/>
      <c r="U152" s="174">
        <v>0</v>
      </c>
      <c r="V152" s="176"/>
      <c r="W152" s="176"/>
      <c r="X152" s="176"/>
      <c r="Z152" s="174">
        <v>75</v>
      </c>
      <c r="AA152" s="174">
        <v>0</v>
      </c>
      <c r="AB152" s="174">
        <v>50</v>
      </c>
      <c r="AC152" s="174">
        <v>0</v>
      </c>
      <c r="AD152" s="176"/>
      <c r="AE152" s="176"/>
      <c r="AF152" s="176"/>
      <c r="AG152" s="174">
        <v>75</v>
      </c>
      <c r="AH152" s="176"/>
      <c r="AI152" s="176"/>
      <c r="AJ152" s="176"/>
    </row>
    <row r="153" spans="1:36" ht="15">
      <c r="A153" s="212" t="s">
        <v>30</v>
      </c>
      <c r="B153" s="174">
        <v>90</v>
      </c>
      <c r="C153" s="174">
        <v>0</v>
      </c>
      <c r="D153" s="174">
        <v>50</v>
      </c>
      <c r="E153" s="174">
        <v>0</v>
      </c>
      <c r="F153" s="176"/>
      <c r="G153" s="176"/>
      <c r="H153" s="176"/>
      <c r="I153" s="174">
        <v>90</v>
      </c>
      <c r="J153" s="176"/>
      <c r="K153" s="176"/>
      <c r="L153" s="176"/>
      <c r="N153" s="174">
        <v>0</v>
      </c>
      <c r="O153" s="174">
        <v>0</v>
      </c>
      <c r="P153" s="174">
        <v>0</v>
      </c>
      <c r="Q153" s="174">
        <v>0</v>
      </c>
      <c r="R153" s="176"/>
      <c r="S153" s="176"/>
      <c r="T153" s="176"/>
      <c r="U153" s="174">
        <v>0</v>
      </c>
      <c r="V153" s="176"/>
      <c r="W153" s="176"/>
      <c r="X153" s="176"/>
      <c r="Z153" s="174">
        <v>50</v>
      </c>
      <c r="AA153" s="174">
        <v>0</v>
      </c>
      <c r="AB153" s="174">
        <v>50</v>
      </c>
      <c r="AC153" s="174">
        <v>0</v>
      </c>
      <c r="AD153" s="176"/>
      <c r="AE153" s="176"/>
      <c r="AF153" s="176"/>
      <c r="AG153" s="174">
        <v>75</v>
      </c>
      <c r="AH153" s="176"/>
      <c r="AI153" s="176"/>
      <c r="AJ153" s="176"/>
    </row>
    <row r="154" spans="1:36" ht="15">
      <c r="A154" s="212" t="s">
        <v>31</v>
      </c>
      <c r="B154" s="174">
        <v>99</v>
      </c>
      <c r="C154" s="174">
        <v>0</v>
      </c>
      <c r="D154" s="174">
        <v>50</v>
      </c>
      <c r="E154" s="174">
        <v>0</v>
      </c>
      <c r="F154" s="176"/>
      <c r="G154" s="176"/>
      <c r="H154" s="176"/>
      <c r="I154" s="174">
        <v>99</v>
      </c>
      <c r="J154" s="176"/>
      <c r="K154" s="176"/>
      <c r="L154" s="176"/>
      <c r="N154" s="174">
        <v>0</v>
      </c>
      <c r="O154" s="174">
        <v>0</v>
      </c>
      <c r="P154" s="174">
        <v>0</v>
      </c>
      <c r="Q154" s="174">
        <v>0</v>
      </c>
      <c r="R154" s="176"/>
      <c r="S154" s="176"/>
      <c r="T154" s="176"/>
      <c r="U154" s="174">
        <v>99</v>
      </c>
      <c r="V154" s="176"/>
      <c r="W154" s="176"/>
      <c r="X154" s="176"/>
      <c r="Z154" s="174">
        <v>99</v>
      </c>
      <c r="AA154" s="174">
        <v>0</v>
      </c>
      <c r="AB154" s="174">
        <v>50</v>
      </c>
      <c r="AC154" s="174">
        <v>0</v>
      </c>
      <c r="AD154" s="176"/>
      <c r="AE154" s="176"/>
      <c r="AF154" s="176"/>
      <c r="AG154" s="174">
        <v>99</v>
      </c>
      <c r="AH154" s="176"/>
      <c r="AI154" s="176"/>
      <c r="AJ154" s="176"/>
    </row>
    <row r="155" spans="1:36" ht="15">
      <c r="A155" s="212" t="s">
        <v>32</v>
      </c>
      <c r="B155" s="174">
        <v>90</v>
      </c>
      <c r="C155" s="174">
        <v>0</v>
      </c>
      <c r="D155" s="174">
        <v>50</v>
      </c>
      <c r="E155" s="174">
        <v>0</v>
      </c>
      <c r="F155" s="176"/>
      <c r="G155" s="176"/>
      <c r="H155" s="176"/>
      <c r="I155" s="174">
        <v>90</v>
      </c>
      <c r="J155" s="176"/>
      <c r="K155" s="176"/>
      <c r="L155" s="176"/>
      <c r="N155" s="174">
        <v>0</v>
      </c>
      <c r="O155" s="174">
        <v>0</v>
      </c>
      <c r="P155" s="174">
        <v>0</v>
      </c>
      <c r="Q155" s="174">
        <v>0</v>
      </c>
      <c r="R155" s="176"/>
      <c r="S155" s="176"/>
      <c r="T155" s="176"/>
      <c r="U155" s="174">
        <v>95</v>
      </c>
      <c r="V155" s="176"/>
      <c r="W155" s="176"/>
      <c r="X155" s="176"/>
      <c r="Z155" s="174">
        <v>90</v>
      </c>
      <c r="AA155" s="174">
        <v>0</v>
      </c>
      <c r="AB155" s="174">
        <v>50</v>
      </c>
      <c r="AC155" s="174">
        <v>0</v>
      </c>
      <c r="AD155" s="176"/>
      <c r="AE155" s="176"/>
      <c r="AF155" s="176"/>
      <c r="AG155" s="174">
        <v>90</v>
      </c>
      <c r="AH155" s="176"/>
      <c r="AI155" s="176"/>
      <c r="AJ155" s="176"/>
    </row>
    <row r="156" spans="1:36" ht="15">
      <c r="A156" s="212" t="s">
        <v>33</v>
      </c>
      <c r="B156" s="174">
        <v>90</v>
      </c>
      <c r="C156" s="174">
        <v>0</v>
      </c>
      <c r="D156" s="174">
        <v>50</v>
      </c>
      <c r="E156" s="174">
        <v>0</v>
      </c>
      <c r="F156" s="176"/>
      <c r="G156" s="176"/>
      <c r="H156" s="176"/>
      <c r="I156" s="174">
        <v>90</v>
      </c>
      <c r="J156" s="176"/>
      <c r="K156" s="176"/>
      <c r="L156" s="176"/>
      <c r="N156" s="174">
        <v>0</v>
      </c>
      <c r="O156" s="174">
        <v>0</v>
      </c>
      <c r="P156" s="174">
        <v>0</v>
      </c>
      <c r="Q156" s="174">
        <v>0</v>
      </c>
      <c r="R156" s="176"/>
      <c r="S156" s="176"/>
      <c r="T156" s="176"/>
      <c r="U156" s="174">
        <v>0</v>
      </c>
      <c r="V156" s="176"/>
      <c r="W156" s="176"/>
      <c r="X156" s="176"/>
      <c r="Z156" s="174">
        <v>75</v>
      </c>
      <c r="AA156" s="174">
        <v>0</v>
      </c>
      <c r="AB156" s="174">
        <v>50</v>
      </c>
      <c r="AC156" s="174">
        <v>0</v>
      </c>
      <c r="AD156" s="176"/>
      <c r="AE156" s="176"/>
      <c r="AF156" s="176"/>
      <c r="AG156" s="174">
        <v>75</v>
      </c>
      <c r="AH156" s="176"/>
      <c r="AI156" s="176"/>
      <c r="AJ156" s="176"/>
    </row>
    <row r="157" spans="1:36" ht="15">
      <c r="A157" s="212" t="s">
        <v>34</v>
      </c>
      <c r="B157" s="174">
        <v>90</v>
      </c>
      <c r="C157" s="174">
        <v>0</v>
      </c>
      <c r="D157" s="174">
        <v>50</v>
      </c>
      <c r="E157" s="174">
        <v>0</v>
      </c>
      <c r="F157" s="176"/>
      <c r="G157" s="176"/>
      <c r="H157" s="176"/>
      <c r="I157" s="174">
        <v>90</v>
      </c>
      <c r="J157" s="176"/>
      <c r="K157" s="176"/>
      <c r="L157" s="176"/>
      <c r="N157" s="174">
        <v>0</v>
      </c>
      <c r="O157" s="174">
        <v>0</v>
      </c>
      <c r="P157" s="174">
        <v>0</v>
      </c>
      <c r="Q157" s="174">
        <v>0</v>
      </c>
      <c r="R157" s="176"/>
      <c r="S157" s="176"/>
      <c r="T157" s="176"/>
      <c r="U157" s="174">
        <v>0</v>
      </c>
      <c r="V157" s="176"/>
      <c r="W157" s="176"/>
      <c r="X157" s="176"/>
      <c r="Z157" s="174">
        <v>75</v>
      </c>
      <c r="AA157" s="174">
        <v>0</v>
      </c>
      <c r="AB157" s="174">
        <v>50</v>
      </c>
      <c r="AC157" s="174">
        <v>0</v>
      </c>
      <c r="AD157" s="176"/>
      <c r="AE157" s="176"/>
      <c r="AF157" s="176"/>
      <c r="AG157" s="174">
        <v>75</v>
      </c>
      <c r="AH157" s="176"/>
      <c r="AI157" s="176"/>
      <c r="AJ157" s="176"/>
    </row>
    <row r="158" spans="1:36" ht="15">
      <c r="A158" s="235" t="s">
        <v>35</v>
      </c>
      <c r="B158" s="174">
        <v>90</v>
      </c>
      <c r="C158" s="174">
        <v>0</v>
      </c>
      <c r="D158" s="174">
        <v>50</v>
      </c>
      <c r="E158" s="174">
        <v>0</v>
      </c>
      <c r="F158" s="176"/>
      <c r="G158" s="176"/>
      <c r="H158" s="176"/>
      <c r="I158" s="174">
        <v>90</v>
      </c>
      <c r="J158" s="176"/>
      <c r="K158" s="176"/>
      <c r="L158" s="176"/>
      <c r="N158" s="174">
        <v>0</v>
      </c>
      <c r="O158" s="174">
        <v>0</v>
      </c>
      <c r="P158" s="174">
        <v>0</v>
      </c>
      <c r="Q158" s="174">
        <v>0</v>
      </c>
      <c r="R158" s="176"/>
      <c r="S158" s="176"/>
      <c r="T158" s="176"/>
      <c r="U158" s="174">
        <v>0</v>
      </c>
      <c r="V158" s="176"/>
      <c r="W158" s="176"/>
      <c r="X158" s="176"/>
      <c r="Z158" s="174">
        <v>75</v>
      </c>
      <c r="AA158" s="174">
        <v>0</v>
      </c>
      <c r="AB158" s="174">
        <v>50</v>
      </c>
      <c r="AC158" s="174">
        <v>0</v>
      </c>
      <c r="AD158" s="176"/>
      <c r="AE158" s="176"/>
      <c r="AF158" s="176"/>
      <c r="AG158" s="174">
        <v>75</v>
      </c>
      <c r="AH158" s="176"/>
      <c r="AI158" s="176"/>
      <c r="AJ158" s="176"/>
    </row>
    <row r="159" spans="1:36" ht="15">
      <c r="A159" s="55" t="s">
        <v>36</v>
      </c>
      <c r="B159" s="176"/>
      <c r="C159" s="176"/>
      <c r="D159" s="176"/>
      <c r="E159" s="176"/>
      <c r="F159" s="176"/>
      <c r="G159" s="176"/>
      <c r="H159" s="176"/>
      <c r="I159" s="176"/>
      <c r="J159" s="176"/>
      <c r="K159" s="176"/>
      <c r="L159" s="176"/>
      <c r="N159" s="176"/>
      <c r="O159" s="176"/>
      <c r="P159" s="176"/>
      <c r="Q159" s="176"/>
      <c r="R159" s="176"/>
      <c r="S159" s="176"/>
      <c r="T159" s="176"/>
      <c r="U159" s="176"/>
      <c r="V159" s="176"/>
      <c r="W159" s="176"/>
      <c r="X159" s="176"/>
      <c r="Z159" s="176"/>
      <c r="AA159" s="176"/>
      <c r="AB159" s="176"/>
      <c r="AC159" s="176"/>
      <c r="AD159" s="176"/>
      <c r="AE159" s="176"/>
      <c r="AF159" s="176"/>
      <c r="AG159" s="176"/>
      <c r="AH159" s="176"/>
      <c r="AI159" s="176"/>
      <c r="AJ159" s="176"/>
    </row>
    <row r="160" spans="1:36" ht="15">
      <c r="A160" s="112" t="s">
        <v>98</v>
      </c>
      <c r="B160" s="174"/>
      <c r="C160" s="174">
        <v>0</v>
      </c>
      <c r="D160" s="174">
        <v>0</v>
      </c>
      <c r="E160" s="174">
        <v>0</v>
      </c>
      <c r="F160" s="176"/>
      <c r="G160" s="176"/>
      <c r="H160" s="176"/>
      <c r="I160" s="174"/>
      <c r="J160" s="176"/>
      <c r="K160" s="176"/>
      <c r="L160" s="176"/>
      <c r="N160" s="174">
        <v>0</v>
      </c>
      <c r="O160" s="174">
        <v>0</v>
      </c>
      <c r="P160" s="174">
        <v>0</v>
      </c>
      <c r="Q160" s="174">
        <v>0</v>
      </c>
      <c r="R160" s="176"/>
      <c r="S160" s="176"/>
      <c r="T160" s="176"/>
      <c r="U160" s="174">
        <v>0</v>
      </c>
      <c r="V160" s="176"/>
      <c r="W160" s="176"/>
      <c r="X160" s="176"/>
      <c r="Z160" s="174">
        <v>75</v>
      </c>
      <c r="AA160" s="174">
        <v>0</v>
      </c>
      <c r="AB160" s="174">
        <v>0</v>
      </c>
      <c r="AC160" s="174">
        <v>0</v>
      </c>
      <c r="AD160" s="176"/>
      <c r="AE160" s="176"/>
      <c r="AF160" s="176"/>
      <c r="AG160" s="174">
        <v>75</v>
      </c>
      <c r="AH160" s="176"/>
      <c r="AI160" s="176"/>
      <c r="AJ160" s="176"/>
    </row>
    <row r="161" spans="1:36" ht="15.75" thickBot="1">
      <c r="A161" s="261" t="s">
        <v>283</v>
      </c>
      <c r="B161" s="174"/>
      <c r="C161" s="174">
        <v>0</v>
      </c>
      <c r="D161" s="174">
        <v>0</v>
      </c>
      <c r="E161" s="174">
        <v>0</v>
      </c>
      <c r="F161" s="176"/>
      <c r="G161" s="176"/>
      <c r="H161" s="176"/>
      <c r="I161" s="174"/>
      <c r="J161" s="176"/>
      <c r="K161" s="176"/>
      <c r="L161" s="176"/>
      <c r="N161" s="174">
        <v>0</v>
      </c>
      <c r="O161" s="174">
        <v>0</v>
      </c>
      <c r="P161" s="174">
        <v>0</v>
      </c>
      <c r="Q161" s="174">
        <v>0</v>
      </c>
      <c r="R161" s="176"/>
      <c r="S161" s="176"/>
      <c r="T161" s="176"/>
      <c r="U161" s="174">
        <v>0</v>
      </c>
      <c r="V161" s="176"/>
      <c r="W161" s="176"/>
      <c r="X161" s="176"/>
      <c r="Z161" s="174">
        <v>75</v>
      </c>
      <c r="AA161" s="174">
        <v>0</v>
      </c>
      <c r="AB161" s="174">
        <v>0</v>
      </c>
      <c r="AC161" s="174">
        <v>0</v>
      </c>
      <c r="AD161" s="176"/>
      <c r="AE161" s="176"/>
      <c r="AF161" s="176"/>
      <c r="AG161" s="174">
        <v>75</v>
      </c>
      <c r="AH161" s="176"/>
      <c r="AI161" s="176"/>
      <c r="AJ161" s="176"/>
    </row>
    <row r="162" spans="1:36" ht="15.75" thickBot="1">
      <c r="A162" s="247"/>
      <c r="B162" s="174"/>
      <c r="C162" s="620" t="s">
        <v>258</v>
      </c>
      <c r="D162" s="621" t="s">
        <v>260</v>
      </c>
      <c r="E162" s="622" t="s">
        <v>120</v>
      </c>
      <c r="F162" s="176"/>
      <c r="G162" s="176"/>
      <c r="H162" s="176"/>
      <c r="I162" s="628" t="s">
        <v>261</v>
      </c>
      <c r="J162" s="640" t="s">
        <v>257</v>
      </c>
      <c r="K162" s="176"/>
      <c r="L162" s="176"/>
      <c r="N162" s="174">
        <v>0</v>
      </c>
      <c r="O162" s="620" t="s">
        <v>258</v>
      </c>
      <c r="P162" s="621" t="s">
        <v>260</v>
      </c>
      <c r="Q162" s="622" t="s">
        <v>120</v>
      </c>
      <c r="R162" s="176"/>
      <c r="S162" s="176"/>
      <c r="T162" s="176"/>
      <c r="U162" s="628" t="s">
        <v>261</v>
      </c>
      <c r="V162" s="640" t="s">
        <v>257</v>
      </c>
      <c r="W162" s="176"/>
      <c r="X162" s="176"/>
      <c r="Z162" s="174">
        <v>75</v>
      </c>
      <c r="AA162" s="780" t="s">
        <v>258</v>
      </c>
      <c r="AB162" s="781" t="s">
        <v>260</v>
      </c>
      <c r="AC162" s="782" t="s">
        <v>120</v>
      </c>
      <c r="AD162" s="176"/>
      <c r="AE162" s="176"/>
      <c r="AF162" s="176"/>
      <c r="AG162" s="783" t="s">
        <v>261</v>
      </c>
      <c r="AH162" s="640" t="s">
        <v>257</v>
      </c>
      <c r="AI162" s="176"/>
      <c r="AJ162" s="176"/>
    </row>
    <row r="163" spans="1:36" ht="15">
      <c r="A163" s="247" t="s">
        <v>284</v>
      </c>
      <c r="B163" s="174"/>
      <c r="C163" s="629">
        <v>0</v>
      </c>
      <c r="D163" s="630">
        <v>0</v>
      </c>
      <c r="E163" s="631">
        <v>0</v>
      </c>
      <c r="F163" s="176"/>
      <c r="G163" s="176"/>
      <c r="H163" s="176"/>
      <c r="I163" s="632"/>
      <c r="J163" s="641"/>
      <c r="K163" s="176"/>
      <c r="L163" s="176"/>
      <c r="N163" s="174">
        <v>0</v>
      </c>
      <c r="O163" s="629">
        <v>0</v>
      </c>
      <c r="P163" s="630">
        <v>0</v>
      </c>
      <c r="Q163" s="631">
        <v>0</v>
      </c>
      <c r="R163" s="176"/>
      <c r="S163" s="176"/>
      <c r="T163" s="176"/>
      <c r="U163" s="632">
        <v>0</v>
      </c>
      <c r="V163" s="641"/>
      <c r="W163" s="176"/>
      <c r="X163" s="176"/>
      <c r="Z163" s="174">
        <v>75</v>
      </c>
      <c r="AA163" s="664">
        <v>0</v>
      </c>
      <c r="AB163" s="784">
        <v>0</v>
      </c>
      <c r="AC163" s="785">
        <v>0</v>
      </c>
      <c r="AD163" s="176"/>
      <c r="AE163" s="176"/>
      <c r="AF163" s="176"/>
      <c r="AG163" s="661"/>
      <c r="AH163" s="641"/>
      <c r="AI163" s="176"/>
      <c r="AJ163" s="176"/>
    </row>
    <row r="164" spans="1:36" ht="15">
      <c r="A164" s="209" t="s">
        <v>127</v>
      </c>
      <c r="B164" s="174"/>
      <c r="C164" s="629">
        <v>0</v>
      </c>
      <c r="D164" s="630">
        <v>0</v>
      </c>
      <c r="E164" s="631">
        <v>0</v>
      </c>
      <c r="F164" s="176"/>
      <c r="G164" s="176"/>
      <c r="H164" s="176"/>
      <c r="I164" s="632"/>
      <c r="J164" s="641"/>
      <c r="K164" s="176"/>
      <c r="L164" s="176"/>
      <c r="N164" s="174">
        <v>0</v>
      </c>
      <c r="O164" s="629">
        <v>0</v>
      </c>
      <c r="P164" s="630">
        <v>0</v>
      </c>
      <c r="Q164" s="631">
        <v>0</v>
      </c>
      <c r="R164" s="176"/>
      <c r="S164" s="176"/>
      <c r="T164" s="176"/>
      <c r="U164" s="632">
        <v>0</v>
      </c>
      <c r="V164" s="641"/>
      <c r="W164" s="176"/>
      <c r="X164" s="176"/>
      <c r="Z164" s="174">
        <v>75</v>
      </c>
      <c r="AA164" s="664">
        <v>0</v>
      </c>
      <c r="AB164" s="784">
        <v>0</v>
      </c>
      <c r="AC164" s="785">
        <v>0</v>
      </c>
      <c r="AD164" s="176"/>
      <c r="AE164" s="176"/>
      <c r="AF164" s="176"/>
      <c r="AG164" s="661"/>
      <c r="AH164" s="641"/>
      <c r="AI164" s="176"/>
      <c r="AJ164" s="176"/>
    </row>
    <row r="165" spans="1:36" ht="15">
      <c r="A165" s="213" t="s">
        <v>128</v>
      </c>
      <c r="B165" s="174"/>
      <c r="C165" s="629">
        <v>0</v>
      </c>
      <c r="D165" s="630">
        <v>0</v>
      </c>
      <c r="E165" s="631">
        <v>0</v>
      </c>
      <c r="F165" s="176"/>
      <c r="G165" s="176"/>
      <c r="H165" s="176"/>
      <c r="I165" s="632"/>
      <c r="J165" s="641"/>
      <c r="K165" s="176"/>
      <c r="L165" s="176"/>
      <c r="N165" s="174">
        <v>0</v>
      </c>
      <c r="O165" s="629">
        <v>0</v>
      </c>
      <c r="P165" s="630">
        <v>0</v>
      </c>
      <c r="Q165" s="631">
        <v>0</v>
      </c>
      <c r="R165" s="176"/>
      <c r="S165" s="176"/>
      <c r="T165" s="176"/>
      <c r="U165" s="632">
        <v>0</v>
      </c>
      <c r="V165" s="641"/>
      <c r="W165" s="176"/>
      <c r="X165" s="176"/>
      <c r="Z165" s="174">
        <v>75</v>
      </c>
      <c r="AA165" s="664">
        <v>0</v>
      </c>
      <c r="AB165" s="784">
        <v>0</v>
      </c>
      <c r="AC165" s="785">
        <v>0</v>
      </c>
      <c r="AD165" s="176"/>
      <c r="AE165" s="176"/>
      <c r="AF165" s="176"/>
      <c r="AG165" s="661"/>
      <c r="AH165" s="641"/>
      <c r="AI165" s="176"/>
      <c r="AJ165" s="176"/>
    </row>
    <row r="166" spans="1:36" ht="15">
      <c r="A166" s="276" t="s">
        <v>285</v>
      </c>
      <c r="B166" s="174"/>
      <c r="C166" s="629">
        <v>0</v>
      </c>
      <c r="D166" s="630">
        <v>0</v>
      </c>
      <c r="E166" s="631">
        <v>0</v>
      </c>
      <c r="F166" s="176"/>
      <c r="G166" s="176"/>
      <c r="H166" s="176"/>
      <c r="I166" s="632"/>
      <c r="J166" s="641"/>
      <c r="K166" s="176"/>
      <c r="L166" s="176"/>
      <c r="N166" s="174">
        <v>0</v>
      </c>
      <c r="O166" s="629">
        <v>0</v>
      </c>
      <c r="P166" s="630">
        <v>0</v>
      </c>
      <c r="Q166" s="631">
        <v>0</v>
      </c>
      <c r="R166" s="176"/>
      <c r="S166" s="176"/>
      <c r="T166" s="176"/>
      <c r="U166" s="632">
        <v>0</v>
      </c>
      <c r="V166" s="641"/>
      <c r="W166" s="176"/>
      <c r="X166" s="176"/>
      <c r="Z166" s="174">
        <v>75</v>
      </c>
      <c r="AA166" s="664">
        <v>0</v>
      </c>
      <c r="AB166" s="784">
        <v>0</v>
      </c>
      <c r="AC166" s="785">
        <v>0</v>
      </c>
      <c r="AD166" s="176"/>
      <c r="AE166" s="176"/>
      <c r="AF166" s="176"/>
      <c r="AG166" s="661"/>
      <c r="AH166" s="641"/>
      <c r="AI166" s="176"/>
      <c r="AJ166" s="176"/>
    </row>
    <row r="167" spans="1:36" ht="15">
      <c r="A167" s="216" t="s">
        <v>134</v>
      </c>
      <c r="B167" s="174"/>
      <c r="C167" s="629">
        <v>0</v>
      </c>
      <c r="D167" s="630">
        <v>0</v>
      </c>
      <c r="E167" s="631">
        <v>0</v>
      </c>
      <c r="F167" s="176"/>
      <c r="G167" s="176"/>
      <c r="H167" s="176"/>
      <c r="I167" s="632"/>
      <c r="J167" s="641"/>
      <c r="K167" s="176"/>
      <c r="L167" s="176"/>
      <c r="N167" s="174">
        <v>0</v>
      </c>
      <c r="O167" s="629">
        <v>0</v>
      </c>
      <c r="P167" s="630">
        <v>0</v>
      </c>
      <c r="Q167" s="631">
        <v>0</v>
      </c>
      <c r="R167" s="176"/>
      <c r="S167" s="176"/>
      <c r="T167" s="176"/>
      <c r="U167" s="632">
        <v>0</v>
      </c>
      <c r="V167" s="641"/>
      <c r="W167" s="176"/>
      <c r="X167" s="176"/>
      <c r="Z167" s="174">
        <v>75</v>
      </c>
      <c r="AA167" s="664">
        <v>0</v>
      </c>
      <c r="AB167" s="784">
        <v>0</v>
      </c>
      <c r="AC167" s="785">
        <v>0</v>
      </c>
      <c r="AD167" s="176"/>
      <c r="AE167" s="176"/>
      <c r="AF167" s="176"/>
      <c r="AG167" s="661"/>
      <c r="AH167" s="641"/>
      <c r="AI167" s="176"/>
      <c r="AJ167" s="176"/>
    </row>
    <row r="168" spans="1:36" ht="15">
      <c r="A168" s="213" t="s">
        <v>131</v>
      </c>
      <c r="B168" s="174"/>
      <c r="C168" s="629">
        <v>0</v>
      </c>
      <c r="D168" s="630">
        <v>0</v>
      </c>
      <c r="E168" s="631">
        <v>0</v>
      </c>
      <c r="F168" s="176"/>
      <c r="G168" s="176"/>
      <c r="H168" s="176"/>
      <c r="I168" s="632"/>
      <c r="J168" s="641"/>
      <c r="K168" s="176"/>
      <c r="L168" s="176"/>
      <c r="N168" s="174">
        <v>0</v>
      </c>
      <c r="O168" s="629">
        <v>0</v>
      </c>
      <c r="P168" s="630">
        <v>0</v>
      </c>
      <c r="Q168" s="631">
        <v>0</v>
      </c>
      <c r="R168" s="176"/>
      <c r="S168" s="176"/>
      <c r="T168" s="176"/>
      <c r="U168" s="632">
        <v>0</v>
      </c>
      <c r="V168" s="641"/>
      <c r="W168" s="176"/>
      <c r="X168" s="176"/>
      <c r="Z168" s="174">
        <v>75</v>
      </c>
      <c r="AA168" s="664">
        <v>0</v>
      </c>
      <c r="AB168" s="784">
        <v>0</v>
      </c>
      <c r="AC168" s="785">
        <v>0</v>
      </c>
      <c r="AD168" s="176"/>
      <c r="AE168" s="176"/>
      <c r="AF168" s="176"/>
      <c r="AG168" s="661"/>
      <c r="AH168" s="641"/>
      <c r="AI168" s="176"/>
      <c r="AJ168" s="176"/>
    </row>
    <row r="169" spans="1:36" ht="15">
      <c r="A169" s="209" t="s">
        <v>132</v>
      </c>
      <c r="B169" s="174"/>
      <c r="C169" s="629">
        <v>0</v>
      </c>
      <c r="D169" s="630">
        <v>0</v>
      </c>
      <c r="E169" s="631">
        <v>0</v>
      </c>
      <c r="F169" s="176"/>
      <c r="G169" s="176"/>
      <c r="H169" s="176"/>
      <c r="I169" s="632"/>
      <c r="J169" s="641"/>
      <c r="K169" s="176"/>
      <c r="L169" s="176"/>
      <c r="N169" s="174">
        <v>0</v>
      </c>
      <c r="O169" s="629">
        <v>0</v>
      </c>
      <c r="P169" s="630">
        <v>0</v>
      </c>
      <c r="Q169" s="631">
        <v>0</v>
      </c>
      <c r="R169" s="176"/>
      <c r="S169" s="176"/>
      <c r="T169" s="176"/>
      <c r="U169" s="632">
        <v>0</v>
      </c>
      <c r="V169" s="641"/>
      <c r="W169" s="176"/>
      <c r="X169" s="176"/>
      <c r="Z169" s="174">
        <v>75</v>
      </c>
      <c r="AA169" s="664">
        <v>0</v>
      </c>
      <c r="AB169" s="784">
        <v>0</v>
      </c>
      <c r="AC169" s="785">
        <v>0</v>
      </c>
      <c r="AD169" s="176"/>
      <c r="AE169" s="176"/>
      <c r="AF169" s="176"/>
      <c r="AG169" s="661"/>
      <c r="AH169" s="641"/>
      <c r="AI169" s="176"/>
      <c r="AJ169" s="176"/>
    </row>
    <row r="170" spans="1:36" ht="15">
      <c r="A170" s="48" t="s">
        <v>39</v>
      </c>
      <c r="B170" s="174">
        <v>75</v>
      </c>
      <c r="C170" s="633">
        <v>0</v>
      </c>
      <c r="D170" s="634">
        <v>0</v>
      </c>
      <c r="E170" s="635">
        <v>0</v>
      </c>
      <c r="F170" s="176"/>
      <c r="G170" s="176"/>
      <c r="H170" s="176"/>
      <c r="I170" s="632"/>
      <c r="J170" s="642"/>
      <c r="K170" s="176"/>
      <c r="L170" s="176"/>
      <c r="N170" s="174">
        <v>0</v>
      </c>
      <c r="O170" s="633">
        <v>0</v>
      </c>
      <c r="P170" s="634">
        <v>0</v>
      </c>
      <c r="Q170" s="635">
        <v>0</v>
      </c>
      <c r="R170" s="176"/>
      <c r="S170" s="176"/>
      <c r="T170" s="176"/>
      <c r="U170" s="632">
        <v>0</v>
      </c>
      <c r="V170" s="642"/>
      <c r="W170" s="176"/>
      <c r="X170" s="176"/>
      <c r="Z170" s="174">
        <v>75</v>
      </c>
      <c r="AA170" s="666">
        <v>0</v>
      </c>
      <c r="AB170" s="786">
        <v>0</v>
      </c>
      <c r="AC170" s="787">
        <v>0</v>
      </c>
      <c r="AD170" s="176"/>
      <c r="AE170" s="176"/>
      <c r="AF170" s="176"/>
      <c r="AG170" s="661"/>
      <c r="AH170" s="642"/>
      <c r="AI170" s="176"/>
      <c r="AJ170" s="176"/>
    </row>
    <row r="171" spans="1:36" ht="15">
      <c r="A171" s="209" t="s">
        <v>127</v>
      </c>
      <c r="B171" s="174">
        <v>75</v>
      </c>
      <c r="C171" s="629">
        <v>0</v>
      </c>
      <c r="D171" s="630">
        <v>0</v>
      </c>
      <c r="E171" s="631">
        <v>0</v>
      </c>
      <c r="F171" s="176"/>
      <c r="G171" s="176"/>
      <c r="H171" s="176"/>
      <c r="I171" s="632"/>
      <c r="J171" s="641"/>
      <c r="K171" s="176"/>
      <c r="L171" s="176"/>
      <c r="N171" s="174">
        <v>0</v>
      </c>
      <c r="O171" s="629">
        <v>0</v>
      </c>
      <c r="P171" s="630">
        <v>0</v>
      </c>
      <c r="Q171" s="631">
        <v>0</v>
      </c>
      <c r="R171" s="176"/>
      <c r="S171" s="176"/>
      <c r="T171" s="176"/>
      <c r="U171" s="632">
        <v>0</v>
      </c>
      <c r="V171" s="641"/>
      <c r="W171" s="176"/>
      <c r="X171" s="176"/>
      <c r="Z171" s="174">
        <v>75</v>
      </c>
      <c r="AA171" s="664">
        <v>0</v>
      </c>
      <c r="AB171" s="784">
        <v>0</v>
      </c>
      <c r="AC171" s="785">
        <v>0</v>
      </c>
      <c r="AD171" s="176"/>
      <c r="AE171" s="176"/>
      <c r="AF171" s="176"/>
      <c r="AG171" s="661"/>
      <c r="AH171" s="641"/>
      <c r="AI171" s="176"/>
      <c r="AJ171" s="176"/>
    </row>
    <row r="172" spans="1:36" ht="15.75" thickBot="1">
      <c r="A172" s="209" t="s">
        <v>132</v>
      </c>
      <c r="B172" s="174">
        <v>75</v>
      </c>
      <c r="C172" s="636">
        <v>0</v>
      </c>
      <c r="D172" s="637">
        <v>0</v>
      </c>
      <c r="E172" s="638">
        <v>0</v>
      </c>
      <c r="F172" s="176"/>
      <c r="G172" s="176"/>
      <c r="H172" s="176"/>
      <c r="I172" s="639"/>
      <c r="J172" s="643"/>
      <c r="K172" s="176"/>
      <c r="L172" s="176"/>
      <c r="N172" s="174">
        <v>0</v>
      </c>
      <c r="O172" s="636">
        <v>0</v>
      </c>
      <c r="P172" s="637">
        <v>0</v>
      </c>
      <c r="Q172" s="638">
        <v>0</v>
      </c>
      <c r="R172" s="176"/>
      <c r="S172" s="176"/>
      <c r="T172" s="176"/>
      <c r="U172" s="639">
        <v>0</v>
      </c>
      <c r="V172" s="643"/>
      <c r="W172" s="176"/>
      <c r="X172" s="176"/>
      <c r="Z172" s="174">
        <v>75</v>
      </c>
      <c r="AA172" s="670">
        <v>0</v>
      </c>
      <c r="AB172" s="788">
        <v>0</v>
      </c>
      <c r="AC172" s="789">
        <v>0</v>
      </c>
      <c r="AD172" s="176"/>
      <c r="AE172" s="176"/>
      <c r="AF172" s="176"/>
      <c r="AG172" s="668"/>
      <c r="AH172" s="643"/>
      <c r="AI172" s="176"/>
      <c r="AJ172" s="176"/>
    </row>
    <row r="173" spans="1:36" ht="15">
      <c r="A173" s="48" t="s">
        <v>40</v>
      </c>
      <c r="B173" s="174"/>
      <c r="C173" s="174">
        <v>0</v>
      </c>
      <c r="D173" s="174">
        <v>0</v>
      </c>
      <c r="E173" s="174">
        <v>0</v>
      </c>
      <c r="F173" s="176"/>
      <c r="G173" s="176"/>
      <c r="H173" s="176"/>
      <c r="I173" s="174"/>
      <c r="J173" s="176"/>
      <c r="K173" s="176"/>
      <c r="L173" s="176"/>
      <c r="N173" s="174">
        <v>0</v>
      </c>
      <c r="O173" s="174">
        <v>0</v>
      </c>
      <c r="P173" s="174">
        <v>0</v>
      </c>
      <c r="Q173" s="174">
        <v>0</v>
      </c>
      <c r="R173" s="176"/>
      <c r="S173" s="176"/>
      <c r="T173" s="176"/>
      <c r="U173" s="174">
        <v>0</v>
      </c>
      <c r="V173" s="176"/>
      <c r="W173" s="176"/>
      <c r="X173" s="176"/>
      <c r="Z173" s="174">
        <v>75</v>
      </c>
      <c r="AA173" s="174">
        <v>0</v>
      </c>
      <c r="AB173" s="174">
        <v>0</v>
      </c>
      <c r="AC173" s="174">
        <v>0</v>
      </c>
      <c r="AD173" s="176"/>
      <c r="AE173" s="176"/>
      <c r="AF173" s="176"/>
      <c r="AG173" s="174">
        <v>75</v>
      </c>
      <c r="AH173" s="176"/>
      <c r="AI173" s="176"/>
      <c r="AJ173" s="176"/>
    </row>
    <row r="174" spans="1:36" ht="15">
      <c r="A174" s="112" t="s">
        <v>99</v>
      </c>
      <c r="B174" s="174">
        <v>75</v>
      </c>
      <c r="C174" s="174">
        <v>0</v>
      </c>
      <c r="D174" s="174">
        <v>0</v>
      </c>
      <c r="E174" s="174">
        <v>0</v>
      </c>
      <c r="F174" s="176"/>
      <c r="G174" s="176"/>
      <c r="H174" s="176"/>
      <c r="I174" s="174">
        <v>75</v>
      </c>
      <c r="J174" s="176"/>
      <c r="K174" s="176"/>
      <c r="L174" s="176"/>
      <c r="N174" s="174">
        <v>0</v>
      </c>
      <c r="O174" s="174">
        <v>0</v>
      </c>
      <c r="P174" s="174">
        <v>0</v>
      </c>
      <c r="Q174" s="174">
        <v>0</v>
      </c>
      <c r="R174" s="176"/>
      <c r="S174" s="176"/>
      <c r="T174" s="176"/>
      <c r="U174" s="174">
        <v>0</v>
      </c>
      <c r="V174" s="176"/>
      <c r="W174" s="176"/>
      <c r="X174" s="176"/>
      <c r="Z174" s="174">
        <v>75</v>
      </c>
      <c r="AA174" s="174">
        <v>0</v>
      </c>
      <c r="AB174" s="174">
        <v>0</v>
      </c>
      <c r="AC174" s="174">
        <v>0</v>
      </c>
      <c r="AD174" s="176"/>
      <c r="AE174" s="176"/>
      <c r="AF174" s="176"/>
      <c r="AG174" s="174">
        <v>75</v>
      </c>
      <c r="AH174" s="176"/>
      <c r="AI174" s="176"/>
      <c r="AJ174" s="176"/>
    </row>
    <row r="175" spans="1:36" ht="15">
      <c r="A175" s="57" t="s">
        <v>35</v>
      </c>
      <c r="B175" s="174"/>
      <c r="C175" s="174">
        <v>0</v>
      </c>
      <c r="D175" s="174">
        <v>0</v>
      </c>
      <c r="E175" s="174">
        <v>0</v>
      </c>
      <c r="F175" s="176"/>
      <c r="G175" s="176"/>
      <c r="H175" s="176"/>
      <c r="I175" s="174"/>
      <c r="J175" s="176"/>
      <c r="K175" s="176"/>
      <c r="L175" s="176"/>
      <c r="N175" s="174">
        <v>0</v>
      </c>
      <c r="O175" s="174">
        <v>0</v>
      </c>
      <c r="P175" s="174">
        <v>0</v>
      </c>
      <c r="Q175" s="174">
        <v>0</v>
      </c>
      <c r="R175" s="176"/>
      <c r="S175" s="176"/>
      <c r="T175" s="176"/>
      <c r="U175" s="174">
        <v>0</v>
      </c>
      <c r="V175" s="176"/>
      <c r="W175" s="176"/>
      <c r="X175" s="176"/>
      <c r="Z175" s="174">
        <v>75</v>
      </c>
      <c r="AA175" s="174">
        <v>0</v>
      </c>
      <c r="AB175" s="174">
        <v>0</v>
      </c>
      <c r="AC175" s="174">
        <v>0</v>
      </c>
      <c r="AD175" s="176"/>
      <c r="AE175" s="176"/>
      <c r="AF175" s="176"/>
      <c r="AG175" s="174">
        <v>75</v>
      </c>
      <c r="AH175" s="176"/>
      <c r="AI175" s="176"/>
      <c r="AJ175" s="176"/>
    </row>
    <row r="176" spans="1:36" ht="15.75" thickBot="1">
      <c r="A176" s="55" t="s">
        <v>42</v>
      </c>
      <c r="B176" s="176"/>
      <c r="C176" s="714" t="s">
        <v>364</v>
      </c>
      <c r="D176" s="176"/>
      <c r="F176" s="176"/>
      <c r="G176" s="176"/>
      <c r="H176" s="176"/>
      <c r="I176" s="176"/>
      <c r="J176" s="714" t="s">
        <v>364</v>
      </c>
      <c r="K176" s="176"/>
      <c r="L176" s="176"/>
      <c r="M176" s="176"/>
      <c r="N176" s="176"/>
      <c r="O176" s="176"/>
      <c r="P176" s="176"/>
      <c r="Q176" s="176"/>
      <c r="R176" s="176"/>
      <c r="S176" s="176"/>
      <c r="T176" s="176"/>
      <c r="U176" s="176"/>
      <c r="V176" s="176"/>
      <c r="W176" s="176"/>
      <c r="X176" s="176"/>
      <c r="Y176" s="176"/>
      <c r="Z176" s="176"/>
      <c r="AA176" s="176"/>
      <c r="AB176" s="176"/>
      <c r="AC176" s="176"/>
      <c r="AD176" s="176"/>
      <c r="AE176" s="176"/>
      <c r="AF176" s="176"/>
      <c r="AG176" s="176"/>
      <c r="AH176" s="176"/>
      <c r="AI176" s="176"/>
      <c r="AJ176" s="176"/>
    </row>
    <row r="177" spans="1:36" ht="15.75" thickBot="1">
      <c r="A177" s="237" t="s">
        <v>43</v>
      </c>
      <c r="B177" s="1057">
        <v>50</v>
      </c>
      <c r="C177" s="1058">
        <v>0.05</v>
      </c>
      <c r="D177" s="174">
        <v>0</v>
      </c>
      <c r="E177" s="174">
        <v>0</v>
      </c>
      <c r="F177" s="176"/>
      <c r="G177" s="176"/>
      <c r="H177" s="176"/>
      <c r="I177" s="1057">
        <v>50</v>
      </c>
      <c r="J177" s="1058">
        <v>0.05</v>
      </c>
      <c r="K177" s="176"/>
      <c r="L177" s="176"/>
      <c r="N177" s="174">
        <v>0</v>
      </c>
      <c r="O177" s="174">
        <v>0</v>
      </c>
      <c r="P177" s="174">
        <v>0</v>
      </c>
      <c r="Q177" s="174">
        <v>0</v>
      </c>
      <c r="R177" s="176"/>
      <c r="S177" s="176"/>
      <c r="T177" s="176"/>
      <c r="U177" s="174">
        <v>0</v>
      </c>
      <c r="V177" s="176"/>
      <c r="W177" s="176"/>
      <c r="X177" s="176"/>
      <c r="Z177" s="174">
        <v>75</v>
      </c>
      <c r="AA177" s="174">
        <v>0</v>
      </c>
      <c r="AB177" s="174">
        <v>0</v>
      </c>
      <c r="AC177" s="174">
        <v>0</v>
      </c>
      <c r="AD177" s="176"/>
      <c r="AE177" s="176"/>
      <c r="AF177" s="176"/>
      <c r="AG177" s="174">
        <v>75</v>
      </c>
      <c r="AH177" s="176"/>
      <c r="AI177" s="176"/>
      <c r="AJ177" s="176"/>
    </row>
    <row r="178" spans="1:36" ht="15">
      <c r="A178" s="270" t="s">
        <v>138</v>
      </c>
      <c r="B178" s="1059">
        <v>50</v>
      </c>
      <c r="C178" s="1058">
        <v>0.05</v>
      </c>
      <c r="D178" s="174">
        <v>0</v>
      </c>
      <c r="E178" s="174">
        <v>0</v>
      </c>
      <c r="F178" s="176"/>
      <c r="G178" s="176"/>
      <c r="H178" s="176"/>
      <c r="I178" s="1059">
        <v>50</v>
      </c>
      <c r="J178" s="1058">
        <v>0.05</v>
      </c>
      <c r="K178" s="176"/>
      <c r="L178" s="176"/>
      <c r="N178" s="174">
        <v>0</v>
      </c>
      <c r="O178" s="174">
        <v>0</v>
      </c>
      <c r="P178" s="174">
        <v>0</v>
      </c>
      <c r="Q178" s="174">
        <v>0</v>
      </c>
      <c r="R178" s="176"/>
      <c r="S178" s="176"/>
      <c r="T178" s="176"/>
      <c r="U178" s="174">
        <v>0</v>
      </c>
      <c r="V178" s="176"/>
      <c r="W178" s="176"/>
      <c r="X178" s="176"/>
      <c r="Z178" s="174">
        <v>75</v>
      </c>
      <c r="AA178" s="174">
        <v>0</v>
      </c>
      <c r="AB178" s="174">
        <v>0</v>
      </c>
      <c r="AC178" s="174">
        <v>0</v>
      </c>
      <c r="AD178" s="176"/>
      <c r="AE178" s="176"/>
      <c r="AF178" s="176"/>
      <c r="AG178" s="174">
        <v>75</v>
      </c>
      <c r="AH178" s="176"/>
      <c r="AI178" s="176"/>
      <c r="AJ178" s="176"/>
    </row>
    <row r="179" spans="1:36" ht="15">
      <c r="A179" s="1056" t="s">
        <v>135</v>
      </c>
      <c r="B179" s="1355" t="s">
        <v>121</v>
      </c>
      <c r="C179" s="1060">
        <v>0</v>
      </c>
      <c r="D179" s="174">
        <v>0</v>
      </c>
      <c r="E179" s="174">
        <v>0</v>
      </c>
      <c r="F179" s="176"/>
      <c r="G179" s="176"/>
      <c r="H179" s="176"/>
      <c r="I179" s="1059"/>
      <c r="J179" s="1060">
        <v>0</v>
      </c>
      <c r="K179" s="176"/>
      <c r="L179" s="176"/>
      <c r="N179" s="174">
        <v>0</v>
      </c>
      <c r="O179" s="174">
        <v>0</v>
      </c>
      <c r="P179" s="174">
        <v>0</v>
      </c>
      <c r="Q179" s="174">
        <v>0</v>
      </c>
      <c r="R179" s="176"/>
      <c r="S179" s="176"/>
      <c r="T179" s="176"/>
      <c r="U179" s="174">
        <v>0</v>
      </c>
      <c r="V179" s="176"/>
      <c r="W179" s="176"/>
      <c r="X179" s="176"/>
      <c r="Z179" s="174">
        <v>75</v>
      </c>
      <c r="AA179" s="174">
        <v>0</v>
      </c>
      <c r="AB179" s="174">
        <v>0</v>
      </c>
      <c r="AC179" s="174">
        <v>0</v>
      </c>
      <c r="AD179" s="176"/>
      <c r="AE179" s="176"/>
      <c r="AF179" s="176"/>
      <c r="AG179" s="174">
        <v>75</v>
      </c>
      <c r="AH179" s="176"/>
      <c r="AI179" s="176"/>
      <c r="AJ179" s="176"/>
    </row>
    <row r="180" spans="1:36" ht="15.75" thickBot="1">
      <c r="A180" s="690" t="s">
        <v>136</v>
      </c>
      <c r="B180" s="1059">
        <v>90</v>
      </c>
      <c r="C180" s="1060">
        <v>0.3</v>
      </c>
      <c r="D180" s="174">
        <v>0</v>
      </c>
      <c r="E180" s="174">
        <v>0</v>
      </c>
      <c r="F180" s="176"/>
      <c r="G180" s="176"/>
      <c r="H180" s="176"/>
      <c r="I180" s="1059">
        <v>90</v>
      </c>
      <c r="J180" s="1060">
        <v>0.3</v>
      </c>
      <c r="K180" s="176"/>
      <c r="L180" s="176"/>
      <c r="N180" s="174">
        <v>0</v>
      </c>
      <c r="O180" s="174">
        <v>0</v>
      </c>
      <c r="P180" s="174">
        <v>0</v>
      </c>
      <c r="Q180" s="174">
        <v>0</v>
      </c>
      <c r="R180" s="176"/>
      <c r="S180" s="176"/>
      <c r="T180" s="176"/>
      <c r="U180" s="174">
        <v>0</v>
      </c>
      <c r="V180" s="176"/>
      <c r="W180" s="176"/>
      <c r="X180" s="176"/>
      <c r="Z180" s="174">
        <v>75</v>
      </c>
      <c r="AA180" s="174">
        <v>0</v>
      </c>
      <c r="AB180" s="174">
        <v>0</v>
      </c>
      <c r="AC180" s="174">
        <v>0</v>
      </c>
      <c r="AD180" s="176"/>
      <c r="AE180" s="176"/>
      <c r="AF180" s="176"/>
      <c r="AG180" s="174">
        <v>75</v>
      </c>
      <c r="AH180" s="176"/>
      <c r="AI180" s="176"/>
      <c r="AJ180" s="176"/>
    </row>
    <row r="181" spans="1:36" ht="15">
      <c r="A181" s="54" t="s">
        <v>44</v>
      </c>
      <c r="B181" s="1059">
        <v>50</v>
      </c>
      <c r="C181" s="1058">
        <v>0.05</v>
      </c>
      <c r="F181" s="176"/>
      <c r="G181" s="176"/>
      <c r="H181" s="176"/>
      <c r="I181" s="1059">
        <v>50</v>
      </c>
      <c r="J181" s="1058">
        <v>0.05</v>
      </c>
      <c r="K181" s="176"/>
      <c r="L181" s="176"/>
      <c r="N181" s="194"/>
      <c r="O181" s="194"/>
      <c r="P181" s="194"/>
      <c r="Q181" s="194"/>
      <c r="R181" s="176"/>
      <c r="S181" s="176"/>
      <c r="T181" s="176"/>
      <c r="U181" s="194"/>
      <c r="V181" s="176"/>
      <c r="W181" s="176"/>
      <c r="X181" s="176"/>
      <c r="Z181" s="174">
        <v>75</v>
      </c>
      <c r="AA181" s="194"/>
      <c r="AB181" s="194"/>
      <c r="AC181" s="194"/>
      <c r="AD181" s="176"/>
      <c r="AE181" s="176"/>
      <c r="AF181" s="176"/>
      <c r="AG181" s="174">
        <v>75</v>
      </c>
      <c r="AH181" s="176"/>
      <c r="AI181" s="176"/>
      <c r="AJ181" s="176"/>
    </row>
    <row r="182" spans="1:36" ht="15">
      <c r="A182" s="54" t="s">
        <v>45</v>
      </c>
      <c r="B182" s="1059">
        <v>50</v>
      </c>
      <c r="C182" s="1060">
        <v>0.1</v>
      </c>
      <c r="D182" s="174">
        <v>0</v>
      </c>
      <c r="E182" s="174">
        <v>0</v>
      </c>
      <c r="F182" s="176"/>
      <c r="G182" s="176"/>
      <c r="H182" s="176"/>
      <c r="I182" s="1059">
        <v>50</v>
      </c>
      <c r="J182" s="1060">
        <v>0.1</v>
      </c>
      <c r="K182" s="176"/>
      <c r="L182" s="176"/>
      <c r="N182" s="174">
        <v>0</v>
      </c>
      <c r="O182" s="174">
        <v>0</v>
      </c>
      <c r="P182" s="174">
        <v>0</v>
      </c>
      <c r="Q182" s="174">
        <v>0</v>
      </c>
      <c r="R182" s="176"/>
      <c r="S182" s="176"/>
      <c r="T182" s="176"/>
      <c r="U182" s="174">
        <v>0</v>
      </c>
      <c r="V182" s="176"/>
      <c r="W182" s="176"/>
      <c r="X182" s="176"/>
      <c r="Z182" s="174">
        <v>75</v>
      </c>
      <c r="AA182" s="174">
        <v>0</v>
      </c>
      <c r="AB182" s="174">
        <v>0</v>
      </c>
      <c r="AC182" s="174">
        <v>0</v>
      </c>
      <c r="AD182" s="176"/>
      <c r="AE182" s="176"/>
      <c r="AF182" s="176"/>
      <c r="AG182" s="174">
        <v>75</v>
      </c>
      <c r="AH182" s="176"/>
      <c r="AI182" s="176"/>
      <c r="AJ182" s="176"/>
    </row>
    <row r="183" spans="1:36" ht="15.75" thickBot="1">
      <c r="A183" s="58" t="s">
        <v>35</v>
      </c>
      <c r="B183" s="1061">
        <v>50</v>
      </c>
      <c r="C183" s="1062">
        <v>0.1</v>
      </c>
      <c r="D183" s="174">
        <v>0</v>
      </c>
      <c r="E183" s="174">
        <v>0</v>
      </c>
      <c r="F183" s="176"/>
      <c r="G183" s="176"/>
      <c r="H183" s="176"/>
      <c r="I183" s="1061">
        <v>50</v>
      </c>
      <c r="J183" s="1062">
        <v>0.1</v>
      </c>
      <c r="K183" s="176"/>
      <c r="L183" s="176"/>
      <c r="N183" s="174">
        <v>0</v>
      </c>
      <c r="O183" s="174">
        <v>0</v>
      </c>
      <c r="P183" s="174">
        <v>0</v>
      </c>
      <c r="Q183" s="174">
        <v>0</v>
      </c>
      <c r="R183" s="176"/>
      <c r="S183" s="176"/>
      <c r="T183" s="176"/>
      <c r="U183" s="174">
        <v>0</v>
      </c>
      <c r="V183" s="176"/>
      <c r="W183" s="176"/>
      <c r="X183" s="176"/>
      <c r="Z183" s="174">
        <v>75</v>
      </c>
      <c r="AA183" s="174">
        <v>0</v>
      </c>
      <c r="AB183" s="174">
        <v>0</v>
      </c>
      <c r="AC183" s="174">
        <v>0</v>
      </c>
      <c r="AD183" s="176"/>
      <c r="AE183" s="176"/>
      <c r="AF183" s="176"/>
      <c r="AG183" s="174">
        <v>75</v>
      </c>
      <c r="AH183" s="176"/>
      <c r="AI183" s="176"/>
      <c r="AJ183" s="176"/>
    </row>
    <row r="184" spans="1:37" ht="15">
      <c r="A184" s="168"/>
      <c r="B184" s="194"/>
      <c r="C184" s="194"/>
      <c r="D184" s="194"/>
      <c r="E184" s="194"/>
      <c r="F184" s="194"/>
      <c r="G184" s="194"/>
      <c r="H184" s="194"/>
      <c r="I184" s="194"/>
      <c r="J184" s="194"/>
      <c r="K184" s="194"/>
      <c r="L184" s="194"/>
      <c r="M184" s="25"/>
      <c r="N184" s="194"/>
      <c r="O184" s="194"/>
      <c r="P184" s="194"/>
      <c r="Q184" s="194"/>
      <c r="R184" s="194"/>
      <c r="S184" s="194"/>
      <c r="T184" s="194"/>
      <c r="U184" s="194"/>
      <c r="V184" s="194"/>
      <c r="W184" s="194"/>
      <c r="X184" s="194"/>
      <c r="Y184" s="25"/>
      <c r="Z184" s="194"/>
      <c r="AA184" s="194"/>
      <c r="AB184" s="194"/>
      <c r="AC184" s="194"/>
      <c r="AD184" s="194"/>
      <c r="AE184" s="194"/>
      <c r="AF184" s="194"/>
      <c r="AG184" s="194"/>
      <c r="AH184" s="194"/>
      <c r="AI184" s="194"/>
      <c r="AJ184" s="194"/>
      <c r="AK184" s="25"/>
    </row>
    <row r="185" spans="1:37" ht="15">
      <c r="A185" s="173"/>
      <c r="B185" s="194"/>
      <c r="C185" s="194"/>
      <c r="D185" s="194"/>
      <c r="E185" s="194"/>
      <c r="F185" s="194"/>
      <c r="G185" s="194"/>
      <c r="H185" s="194"/>
      <c r="I185" s="194"/>
      <c r="J185" s="194"/>
      <c r="K185" s="194"/>
      <c r="L185" s="194"/>
      <c r="M185" s="25"/>
      <c r="N185" s="194"/>
      <c r="O185" s="194"/>
      <c r="P185" s="194"/>
      <c r="Q185" s="194"/>
      <c r="R185" s="194"/>
      <c r="S185" s="194"/>
      <c r="T185" s="194"/>
      <c r="U185" s="194"/>
      <c r="V185" s="194"/>
      <c r="W185" s="194"/>
      <c r="X185" s="194"/>
      <c r="Y185" s="25"/>
      <c r="Z185" s="194"/>
      <c r="AA185" s="194"/>
      <c r="AB185" s="194"/>
      <c r="AC185" s="194"/>
      <c r="AD185" s="194"/>
      <c r="AE185" s="194"/>
      <c r="AF185" s="194"/>
      <c r="AG185" s="194"/>
      <c r="AH185" s="194"/>
      <c r="AI185" s="194"/>
      <c r="AJ185" s="194"/>
      <c r="AK185" s="25"/>
    </row>
    <row r="186" spans="1:37" ht="15">
      <c r="A186" s="168"/>
      <c r="B186" s="194"/>
      <c r="C186" s="194"/>
      <c r="D186" s="194"/>
      <c r="E186" s="194"/>
      <c r="F186" s="194"/>
      <c r="G186" s="194"/>
      <c r="H186" s="194"/>
      <c r="I186" s="194"/>
      <c r="J186" s="194"/>
      <c r="K186" s="194"/>
      <c r="L186" s="194"/>
      <c r="M186" s="25"/>
      <c r="N186" s="194"/>
      <c r="O186" s="1049"/>
      <c r="P186" s="1050"/>
      <c r="Q186" s="1051"/>
      <c r="R186" s="175"/>
      <c r="S186" s="175"/>
      <c r="T186" s="175"/>
      <c r="U186" s="1052"/>
      <c r="V186" s="1049"/>
      <c r="W186" s="194"/>
      <c r="X186" s="194"/>
      <c r="Y186" s="25"/>
      <c r="Z186" s="194"/>
      <c r="AA186" s="194"/>
      <c r="AB186" s="194"/>
      <c r="AC186" s="194"/>
      <c r="AD186" s="194"/>
      <c r="AE186" s="194"/>
      <c r="AF186" s="194"/>
      <c r="AG186" s="194"/>
      <c r="AH186" s="194"/>
      <c r="AI186" s="194"/>
      <c r="AJ186" s="194"/>
      <c r="AK186" s="25"/>
    </row>
    <row r="187" spans="1:37" ht="15">
      <c r="A187" s="168"/>
      <c r="B187" s="194"/>
      <c r="C187" s="194"/>
      <c r="D187" s="194"/>
      <c r="E187" s="194"/>
      <c r="F187" s="194"/>
      <c r="G187" s="194"/>
      <c r="H187" s="194"/>
      <c r="I187" s="194"/>
      <c r="J187" s="194"/>
      <c r="K187" s="194"/>
      <c r="L187" s="194"/>
      <c r="M187" s="25"/>
      <c r="N187" s="194"/>
      <c r="O187" s="1053"/>
      <c r="P187" s="1054"/>
      <c r="Q187" s="1055"/>
      <c r="R187" s="175"/>
      <c r="S187" s="175"/>
      <c r="T187" s="175"/>
      <c r="U187" s="1052"/>
      <c r="V187" s="1055"/>
      <c r="W187" s="194"/>
      <c r="X187" s="194"/>
      <c r="Y187" s="25"/>
      <c r="Z187" s="194"/>
      <c r="AA187" s="194"/>
      <c r="AB187" s="194"/>
      <c r="AC187" s="194"/>
      <c r="AD187" s="194"/>
      <c r="AE187" s="194"/>
      <c r="AF187" s="194"/>
      <c r="AG187" s="194"/>
      <c r="AH187" s="194"/>
      <c r="AI187" s="194"/>
      <c r="AJ187" s="194"/>
      <c r="AK187" s="25"/>
    </row>
    <row r="188" spans="1:37" ht="15.75">
      <c r="A188" s="167"/>
      <c r="B188" s="175"/>
      <c r="C188" s="175"/>
      <c r="D188" s="175"/>
      <c r="E188" s="175"/>
      <c r="F188" s="175"/>
      <c r="G188" s="175"/>
      <c r="H188" s="175"/>
      <c r="I188" s="175"/>
      <c r="J188" s="175"/>
      <c r="K188" s="175"/>
      <c r="L188" s="175"/>
      <c r="M188" s="65"/>
      <c r="N188" s="65"/>
      <c r="O188" s="1053"/>
      <c r="P188" s="1054"/>
      <c r="Q188" s="1055"/>
      <c r="R188" s="175"/>
      <c r="S188" s="175"/>
      <c r="T188" s="175"/>
      <c r="U188" s="1052"/>
      <c r="V188" s="1055"/>
      <c r="W188" s="65"/>
      <c r="X188" s="65"/>
      <c r="Y188" s="65"/>
      <c r="Z188" s="175"/>
      <c r="AA188" s="175"/>
      <c r="AB188" s="175"/>
      <c r="AC188" s="175"/>
      <c r="AD188" s="175"/>
      <c r="AE188" s="175"/>
      <c r="AF188" s="175"/>
      <c r="AG188" s="175"/>
      <c r="AH188" s="175"/>
      <c r="AI188" s="175"/>
      <c r="AJ188" s="175"/>
      <c r="AK188" s="65"/>
    </row>
    <row r="189" spans="1:37" ht="15.75">
      <c r="A189" s="195"/>
      <c r="B189" s="175"/>
      <c r="C189" s="175"/>
      <c r="D189" s="175"/>
      <c r="E189" s="175"/>
      <c r="F189" s="175"/>
      <c r="G189" s="175"/>
      <c r="H189" s="175"/>
      <c r="I189" s="175"/>
      <c r="J189" s="175"/>
      <c r="K189" s="175"/>
      <c r="L189" s="175"/>
      <c r="M189" s="65"/>
      <c r="N189" s="65"/>
      <c r="O189" s="1053"/>
      <c r="P189" s="1054"/>
      <c r="Q189" s="1055"/>
      <c r="R189" s="175"/>
      <c r="S189" s="175"/>
      <c r="T189" s="175"/>
      <c r="U189" s="1052"/>
      <c r="V189" s="1055"/>
      <c r="W189" s="65"/>
      <c r="X189" s="65"/>
      <c r="Y189" s="65"/>
      <c r="Z189" s="175"/>
      <c r="AA189" s="175"/>
      <c r="AB189" s="175"/>
      <c r="AC189" s="175"/>
      <c r="AD189" s="175"/>
      <c r="AE189" s="175"/>
      <c r="AF189" s="175"/>
      <c r="AG189" s="175"/>
      <c r="AH189" s="175"/>
      <c r="AI189" s="175"/>
      <c r="AJ189" s="175"/>
      <c r="AK189" s="65"/>
    </row>
    <row r="190" spans="1:37" ht="15">
      <c r="A190" s="64"/>
      <c r="B190" s="175"/>
      <c r="C190" s="175"/>
      <c r="D190" s="175"/>
      <c r="E190" s="175"/>
      <c r="F190" s="175"/>
      <c r="G190" s="175"/>
      <c r="H190" s="175"/>
      <c r="I190" s="175"/>
      <c r="J190" s="175"/>
      <c r="K190" s="175"/>
      <c r="L190" s="175"/>
      <c r="M190" s="65"/>
      <c r="N190" s="65"/>
      <c r="O190" s="1053"/>
      <c r="P190" s="1054"/>
      <c r="Q190" s="1055"/>
      <c r="R190" s="175"/>
      <c r="S190" s="175"/>
      <c r="T190" s="175"/>
      <c r="U190" s="1052"/>
      <c r="V190" s="1055"/>
      <c r="W190" s="65"/>
      <c r="X190" s="65"/>
      <c r="Y190" s="65"/>
      <c r="Z190" s="175"/>
      <c r="AA190" s="175"/>
      <c r="AB190" s="175"/>
      <c r="AC190" s="175"/>
      <c r="AD190" s="175"/>
      <c r="AE190" s="175"/>
      <c r="AF190" s="175"/>
      <c r="AG190" s="175"/>
      <c r="AH190" s="175"/>
      <c r="AI190" s="175"/>
      <c r="AJ190" s="175"/>
      <c r="AK190" s="65"/>
    </row>
    <row r="191" spans="1:37" ht="15">
      <c r="A191" s="64"/>
      <c r="B191" s="175"/>
      <c r="C191" s="175"/>
      <c r="D191" s="175"/>
      <c r="E191" s="175"/>
      <c r="F191" s="175"/>
      <c r="G191" s="175"/>
      <c r="H191" s="175"/>
      <c r="I191" s="175"/>
      <c r="J191" s="175"/>
      <c r="K191" s="175"/>
      <c r="L191" s="175"/>
      <c r="M191" s="65"/>
      <c r="N191" s="65"/>
      <c r="O191" s="1053"/>
      <c r="P191" s="1054"/>
      <c r="Q191" s="1055"/>
      <c r="R191" s="175"/>
      <c r="S191" s="175"/>
      <c r="T191" s="175"/>
      <c r="U191" s="1052"/>
      <c r="V191" s="1055"/>
      <c r="W191" s="65"/>
      <c r="X191" s="65"/>
      <c r="Y191" s="65"/>
      <c r="Z191" s="175"/>
      <c r="AA191" s="175"/>
      <c r="AB191" s="175"/>
      <c r="AC191" s="175"/>
      <c r="AD191" s="175"/>
      <c r="AE191" s="175"/>
      <c r="AF191" s="175"/>
      <c r="AG191" s="175"/>
      <c r="AH191" s="175"/>
      <c r="AI191" s="175"/>
      <c r="AJ191" s="175"/>
      <c r="AK191" s="65"/>
    </row>
    <row r="192" spans="1:37" ht="15">
      <c r="A192" s="64"/>
      <c r="B192" s="175"/>
      <c r="C192" s="175"/>
      <c r="D192" s="175"/>
      <c r="E192" s="175"/>
      <c r="F192" s="175"/>
      <c r="G192" s="175"/>
      <c r="H192" s="175"/>
      <c r="I192" s="175"/>
      <c r="J192" s="175"/>
      <c r="K192" s="175"/>
      <c r="L192" s="175"/>
      <c r="M192" s="65"/>
      <c r="N192" s="65"/>
      <c r="O192" s="1053"/>
      <c r="P192" s="1054"/>
      <c r="Q192" s="1055"/>
      <c r="R192" s="175"/>
      <c r="S192" s="175"/>
      <c r="T192" s="175"/>
      <c r="U192" s="1052"/>
      <c r="V192" s="1055"/>
      <c r="W192" s="65"/>
      <c r="X192" s="65"/>
      <c r="Y192" s="65"/>
      <c r="Z192" s="175"/>
      <c r="AA192" s="175"/>
      <c r="AB192" s="175"/>
      <c r="AC192" s="175"/>
      <c r="AD192" s="175"/>
      <c r="AE192" s="175"/>
      <c r="AF192" s="175"/>
      <c r="AG192" s="175"/>
      <c r="AH192" s="175"/>
      <c r="AI192" s="175"/>
      <c r="AJ192" s="175"/>
      <c r="AK192" s="65"/>
    </row>
    <row r="193" spans="1:37" ht="15">
      <c r="A193" s="64"/>
      <c r="B193" s="175"/>
      <c r="C193" s="175"/>
      <c r="D193" s="175"/>
      <c r="E193" s="175"/>
      <c r="F193" s="175"/>
      <c r="G193" s="175"/>
      <c r="H193" s="175"/>
      <c r="I193" s="175"/>
      <c r="J193" s="175"/>
      <c r="K193" s="175"/>
      <c r="L193" s="175"/>
      <c r="M193" s="65"/>
      <c r="N193" s="65"/>
      <c r="O193" s="1053"/>
      <c r="P193" s="1054"/>
      <c r="Q193" s="1055"/>
      <c r="R193" s="175"/>
      <c r="S193" s="175"/>
      <c r="T193" s="175"/>
      <c r="U193" s="1052"/>
      <c r="V193" s="1055"/>
      <c r="W193" s="65"/>
      <c r="X193" s="65"/>
      <c r="Y193" s="65"/>
      <c r="Z193" s="175"/>
      <c r="AA193" s="175"/>
      <c r="AB193" s="175"/>
      <c r="AC193" s="175"/>
      <c r="AD193" s="175"/>
      <c r="AE193" s="175"/>
      <c r="AF193" s="175"/>
      <c r="AG193" s="175"/>
      <c r="AH193" s="175"/>
      <c r="AI193" s="175"/>
      <c r="AJ193" s="175"/>
      <c r="AK193" s="65"/>
    </row>
    <row r="194" spans="1:37" ht="15">
      <c r="A194" s="64"/>
      <c r="B194" s="175"/>
      <c r="C194" s="175"/>
      <c r="D194" s="175"/>
      <c r="E194" s="175"/>
      <c r="F194" s="175"/>
      <c r="G194" s="175"/>
      <c r="H194" s="175"/>
      <c r="I194" s="175"/>
      <c r="J194" s="175"/>
      <c r="K194" s="175"/>
      <c r="L194" s="175"/>
      <c r="M194" s="65"/>
      <c r="N194" s="65"/>
      <c r="O194" s="166"/>
      <c r="P194" s="1054"/>
      <c r="Q194" s="64"/>
      <c r="R194" s="175"/>
      <c r="S194" s="175"/>
      <c r="T194" s="175"/>
      <c r="U194" s="1052"/>
      <c r="V194" s="64"/>
      <c r="W194" s="65"/>
      <c r="X194" s="65"/>
      <c r="Y194" s="65"/>
      <c r="Z194" s="175"/>
      <c r="AA194" s="175"/>
      <c r="AB194" s="175"/>
      <c r="AC194" s="175"/>
      <c r="AD194" s="175"/>
      <c r="AE194" s="175"/>
      <c r="AF194" s="175"/>
      <c r="AG194" s="175"/>
      <c r="AH194" s="175"/>
      <c r="AI194" s="175"/>
      <c r="AJ194" s="175"/>
      <c r="AK194" s="65"/>
    </row>
    <row r="195" spans="1:37" ht="15">
      <c r="A195" s="64"/>
      <c r="B195" s="175"/>
      <c r="C195" s="175"/>
      <c r="D195" s="175"/>
      <c r="E195" s="175"/>
      <c r="F195" s="175"/>
      <c r="G195" s="175"/>
      <c r="H195" s="175"/>
      <c r="I195" s="175"/>
      <c r="J195" s="175"/>
      <c r="K195" s="175"/>
      <c r="L195" s="175"/>
      <c r="M195" s="65"/>
      <c r="N195" s="65"/>
      <c r="O195" s="1053"/>
      <c r="P195" s="1054"/>
      <c r="Q195" s="1055"/>
      <c r="R195" s="175"/>
      <c r="S195" s="175"/>
      <c r="T195" s="175"/>
      <c r="U195" s="1052"/>
      <c r="V195" s="1055"/>
      <c r="W195" s="65"/>
      <c r="X195" s="65"/>
      <c r="Y195" s="65"/>
      <c r="Z195" s="175"/>
      <c r="AA195" s="175"/>
      <c r="AB195" s="175"/>
      <c r="AC195" s="175"/>
      <c r="AD195" s="175"/>
      <c r="AE195" s="175"/>
      <c r="AF195" s="175"/>
      <c r="AG195" s="175"/>
      <c r="AH195" s="175"/>
      <c r="AI195" s="175"/>
      <c r="AJ195" s="175"/>
      <c r="AK195" s="65"/>
    </row>
    <row r="196" spans="1:37" ht="15">
      <c r="A196" s="64"/>
      <c r="B196" s="175"/>
      <c r="C196" s="175"/>
      <c r="D196" s="175"/>
      <c r="E196" s="175"/>
      <c r="F196" s="175"/>
      <c r="G196" s="175"/>
      <c r="H196" s="175"/>
      <c r="I196" s="175"/>
      <c r="J196" s="175"/>
      <c r="K196" s="175"/>
      <c r="L196" s="175"/>
      <c r="M196" s="65"/>
      <c r="N196" s="65"/>
      <c r="O196" s="1053"/>
      <c r="P196" s="1054"/>
      <c r="Q196" s="1055"/>
      <c r="R196" s="175"/>
      <c r="S196" s="175"/>
      <c r="T196" s="175"/>
      <c r="U196" s="1052"/>
      <c r="V196" s="1055"/>
      <c r="W196" s="65"/>
      <c r="X196" s="65"/>
      <c r="Y196" s="65"/>
      <c r="Z196" s="175"/>
      <c r="AA196" s="175"/>
      <c r="AB196" s="175"/>
      <c r="AC196" s="175"/>
      <c r="AD196" s="175"/>
      <c r="AE196" s="175"/>
      <c r="AF196" s="175"/>
      <c r="AG196" s="175"/>
      <c r="AH196" s="175"/>
      <c r="AI196" s="175"/>
      <c r="AJ196" s="175"/>
      <c r="AK196" s="65"/>
    </row>
    <row r="197" spans="1:37" ht="15">
      <c r="A197" s="64"/>
      <c r="B197" s="175"/>
      <c r="C197" s="175"/>
      <c r="D197" s="175"/>
      <c r="E197" s="175"/>
      <c r="F197" s="175"/>
      <c r="G197" s="175"/>
      <c r="H197" s="175"/>
      <c r="I197" s="175"/>
      <c r="J197" s="175"/>
      <c r="K197" s="175"/>
      <c r="L197" s="175"/>
      <c r="M197" s="65"/>
      <c r="N197" s="65"/>
      <c r="O197" s="65"/>
      <c r="P197" s="65"/>
      <c r="Q197" s="65"/>
      <c r="R197" s="65"/>
      <c r="S197" s="65"/>
      <c r="T197" s="65"/>
      <c r="U197" s="65"/>
      <c r="V197" s="65"/>
      <c r="W197" s="65"/>
      <c r="X197" s="65"/>
      <c r="Y197" s="65"/>
      <c r="Z197" s="175"/>
      <c r="AA197" s="175"/>
      <c r="AB197" s="175"/>
      <c r="AC197" s="175"/>
      <c r="AD197" s="175"/>
      <c r="AE197" s="175"/>
      <c r="AF197" s="175"/>
      <c r="AG197" s="175"/>
      <c r="AH197" s="175"/>
      <c r="AI197" s="175"/>
      <c r="AJ197" s="175"/>
      <c r="AK197" s="65"/>
    </row>
    <row r="198" spans="1:37" ht="15">
      <c r="A198" s="64"/>
      <c r="B198" s="175"/>
      <c r="C198" s="175"/>
      <c r="D198" s="175"/>
      <c r="E198" s="175"/>
      <c r="F198" s="175"/>
      <c r="G198" s="175"/>
      <c r="H198" s="175"/>
      <c r="I198" s="175"/>
      <c r="J198" s="175"/>
      <c r="K198" s="175"/>
      <c r="L198" s="175"/>
      <c r="M198" s="65"/>
      <c r="N198" s="65"/>
      <c r="O198" s="65"/>
      <c r="P198" s="65"/>
      <c r="Q198" s="65"/>
      <c r="R198" s="65"/>
      <c r="S198" s="65"/>
      <c r="T198" s="65"/>
      <c r="U198" s="65"/>
      <c r="V198" s="65"/>
      <c r="W198" s="65"/>
      <c r="X198" s="65"/>
      <c r="Y198" s="65"/>
      <c r="Z198" s="175"/>
      <c r="AA198" s="175"/>
      <c r="AB198" s="175"/>
      <c r="AC198" s="175"/>
      <c r="AD198" s="175"/>
      <c r="AE198" s="175"/>
      <c r="AF198" s="175"/>
      <c r="AG198" s="175"/>
      <c r="AH198" s="175"/>
      <c r="AI198" s="175"/>
      <c r="AJ198" s="175"/>
      <c r="AK198" s="65"/>
    </row>
    <row r="199" spans="1:37" ht="15">
      <c r="A199" s="64"/>
      <c r="B199" s="175"/>
      <c r="C199" s="175"/>
      <c r="D199" s="175"/>
      <c r="E199" s="175"/>
      <c r="F199" s="175"/>
      <c r="G199" s="175"/>
      <c r="H199" s="175"/>
      <c r="I199" s="175"/>
      <c r="J199" s="175"/>
      <c r="K199" s="175"/>
      <c r="L199" s="175"/>
      <c r="M199" s="65"/>
      <c r="N199" s="65"/>
      <c r="O199" s="65"/>
      <c r="P199" s="65"/>
      <c r="Q199" s="65"/>
      <c r="R199" s="65"/>
      <c r="S199" s="65"/>
      <c r="T199" s="65"/>
      <c r="U199" s="65"/>
      <c r="V199" s="65"/>
      <c r="W199" s="65"/>
      <c r="X199" s="65"/>
      <c r="Y199" s="65"/>
      <c r="Z199" s="175"/>
      <c r="AA199" s="175"/>
      <c r="AB199" s="175"/>
      <c r="AC199" s="175"/>
      <c r="AD199" s="175"/>
      <c r="AE199" s="175"/>
      <c r="AF199" s="175"/>
      <c r="AG199" s="175"/>
      <c r="AH199" s="175"/>
      <c r="AI199" s="175"/>
      <c r="AJ199" s="175"/>
      <c r="AK199" s="65"/>
    </row>
    <row r="200" spans="1:37" ht="15">
      <c r="A200" s="64"/>
      <c r="B200" s="175"/>
      <c r="C200" s="175"/>
      <c r="D200" s="175"/>
      <c r="E200" s="175"/>
      <c r="F200" s="175"/>
      <c r="G200" s="175"/>
      <c r="H200" s="175"/>
      <c r="I200" s="175"/>
      <c r="J200" s="175"/>
      <c r="K200" s="175"/>
      <c r="L200" s="175"/>
      <c r="M200" s="65"/>
      <c r="N200" s="65"/>
      <c r="O200" s="65"/>
      <c r="P200" s="65"/>
      <c r="Q200" s="65"/>
      <c r="R200" s="65"/>
      <c r="S200" s="65"/>
      <c r="T200" s="65"/>
      <c r="U200" s="65"/>
      <c r="V200" s="65"/>
      <c r="W200" s="65"/>
      <c r="X200" s="65"/>
      <c r="Y200" s="65"/>
      <c r="Z200" s="175"/>
      <c r="AA200" s="175"/>
      <c r="AB200" s="175"/>
      <c r="AC200" s="175"/>
      <c r="AD200" s="175"/>
      <c r="AE200" s="175"/>
      <c r="AF200" s="175"/>
      <c r="AG200" s="175"/>
      <c r="AH200" s="175"/>
      <c r="AI200" s="175"/>
      <c r="AJ200" s="175"/>
      <c r="AK200" s="65"/>
    </row>
    <row r="201" spans="1:37" ht="15">
      <c r="A201" s="64"/>
      <c r="B201" s="175"/>
      <c r="C201" s="175"/>
      <c r="D201" s="175"/>
      <c r="E201" s="175"/>
      <c r="F201" s="175"/>
      <c r="G201" s="175"/>
      <c r="H201" s="175"/>
      <c r="I201" s="175"/>
      <c r="J201" s="175"/>
      <c r="K201" s="175"/>
      <c r="L201" s="175"/>
      <c r="M201" s="65"/>
      <c r="N201" s="65"/>
      <c r="O201" s="65"/>
      <c r="P201" s="65"/>
      <c r="Q201" s="65"/>
      <c r="R201" s="65"/>
      <c r="S201" s="65"/>
      <c r="T201" s="65"/>
      <c r="U201" s="65"/>
      <c r="V201" s="65"/>
      <c r="W201" s="65"/>
      <c r="X201" s="65"/>
      <c r="Y201" s="65"/>
      <c r="Z201" s="175"/>
      <c r="AA201" s="175"/>
      <c r="AB201" s="175"/>
      <c r="AC201" s="175"/>
      <c r="AD201" s="175"/>
      <c r="AE201" s="175"/>
      <c r="AF201" s="175"/>
      <c r="AG201" s="175"/>
      <c r="AH201" s="175"/>
      <c r="AI201" s="175"/>
      <c r="AJ201" s="175"/>
      <c r="AK201" s="65"/>
    </row>
    <row r="202" spans="1:37" ht="15">
      <c r="A202" s="64"/>
      <c r="B202" s="175"/>
      <c r="C202" s="175"/>
      <c r="D202" s="175"/>
      <c r="E202" s="175"/>
      <c r="F202" s="175"/>
      <c r="G202" s="175"/>
      <c r="H202" s="175"/>
      <c r="I202" s="175"/>
      <c r="J202" s="175"/>
      <c r="K202" s="175"/>
      <c r="L202" s="175"/>
      <c r="M202" s="65"/>
      <c r="N202" s="65"/>
      <c r="O202" s="65"/>
      <c r="P202" s="65"/>
      <c r="Q202" s="65"/>
      <c r="R202" s="65"/>
      <c r="S202" s="65"/>
      <c r="T202" s="65"/>
      <c r="U202" s="65"/>
      <c r="V202" s="65"/>
      <c r="W202" s="65"/>
      <c r="X202" s="65"/>
      <c r="Y202" s="65"/>
      <c r="Z202" s="175"/>
      <c r="AA202" s="175"/>
      <c r="AB202" s="175"/>
      <c r="AC202" s="175"/>
      <c r="AD202" s="175"/>
      <c r="AE202" s="175"/>
      <c r="AF202" s="175"/>
      <c r="AG202" s="175"/>
      <c r="AH202" s="175"/>
      <c r="AI202" s="175"/>
      <c r="AJ202" s="175"/>
      <c r="AK202" s="65"/>
    </row>
    <row r="203" spans="1:37" ht="15.75">
      <c r="A203" s="195"/>
      <c r="B203" s="175"/>
      <c r="C203" s="175"/>
      <c r="D203" s="175"/>
      <c r="E203" s="175"/>
      <c r="F203" s="175"/>
      <c r="G203" s="175"/>
      <c r="H203" s="175"/>
      <c r="I203" s="175"/>
      <c r="J203" s="175"/>
      <c r="K203" s="175"/>
      <c r="L203" s="175"/>
      <c r="M203" s="65"/>
      <c r="N203" s="65"/>
      <c r="O203" s="65"/>
      <c r="P203" s="65"/>
      <c r="Q203" s="65"/>
      <c r="R203" s="65"/>
      <c r="S203" s="65"/>
      <c r="T203" s="65"/>
      <c r="U203" s="65"/>
      <c r="V203" s="65"/>
      <c r="W203" s="65"/>
      <c r="X203" s="65"/>
      <c r="Y203" s="65"/>
      <c r="Z203" s="175"/>
      <c r="AA203" s="175"/>
      <c r="AB203" s="175"/>
      <c r="AC203" s="175"/>
      <c r="AD203" s="175"/>
      <c r="AE203" s="175"/>
      <c r="AF203" s="175"/>
      <c r="AG203" s="175"/>
      <c r="AH203" s="175"/>
      <c r="AI203" s="175"/>
      <c r="AJ203" s="175"/>
      <c r="AK203" s="65"/>
    </row>
    <row r="204" spans="1:37" ht="15">
      <c r="A204" s="12"/>
      <c r="B204" s="175"/>
      <c r="C204" s="175"/>
      <c r="D204" s="175"/>
      <c r="E204" s="175"/>
      <c r="F204" s="175"/>
      <c r="G204" s="175"/>
      <c r="H204" s="175"/>
      <c r="I204" s="175"/>
      <c r="J204" s="175"/>
      <c r="K204" s="175"/>
      <c r="L204" s="175"/>
      <c r="M204" s="65"/>
      <c r="N204" s="65"/>
      <c r="O204" s="65"/>
      <c r="P204" s="65"/>
      <c r="Q204" s="65"/>
      <c r="R204" s="65"/>
      <c r="S204" s="65"/>
      <c r="T204" s="65"/>
      <c r="U204" s="65"/>
      <c r="V204" s="65"/>
      <c r="W204" s="65"/>
      <c r="X204" s="65"/>
      <c r="Y204" s="65"/>
      <c r="Z204" s="175"/>
      <c r="AA204" s="175"/>
      <c r="AB204" s="175"/>
      <c r="AC204" s="175"/>
      <c r="AD204" s="175"/>
      <c r="AE204" s="175"/>
      <c r="AF204" s="175"/>
      <c r="AG204" s="175"/>
      <c r="AH204" s="175"/>
      <c r="AI204" s="175"/>
      <c r="AJ204" s="175"/>
      <c r="AK204" s="65"/>
    </row>
    <row r="205" spans="1:37" ht="15">
      <c r="A205" s="64"/>
      <c r="B205" s="175"/>
      <c r="C205" s="175"/>
      <c r="D205" s="175"/>
      <c r="E205" s="175"/>
      <c r="F205" s="175"/>
      <c r="G205" s="175"/>
      <c r="H205" s="175"/>
      <c r="I205" s="175"/>
      <c r="J205" s="175"/>
      <c r="K205" s="175"/>
      <c r="L205" s="175"/>
      <c r="M205" s="65"/>
      <c r="N205" s="65"/>
      <c r="O205" s="65"/>
      <c r="P205" s="65"/>
      <c r="Q205" s="65"/>
      <c r="R205" s="65"/>
      <c r="S205" s="65"/>
      <c r="T205" s="65"/>
      <c r="U205" s="65"/>
      <c r="V205" s="65"/>
      <c r="W205" s="65"/>
      <c r="X205" s="65"/>
      <c r="Y205" s="65"/>
      <c r="Z205" s="175"/>
      <c r="AA205" s="175"/>
      <c r="AB205" s="175"/>
      <c r="AC205" s="175"/>
      <c r="AD205" s="175"/>
      <c r="AE205" s="175"/>
      <c r="AF205" s="175"/>
      <c r="AG205" s="175"/>
      <c r="AH205" s="175"/>
      <c r="AI205" s="175"/>
      <c r="AJ205" s="175"/>
      <c r="AK205" s="65"/>
    </row>
    <row r="206" spans="1:37" ht="15">
      <c r="A206" s="64"/>
      <c r="B206" s="175"/>
      <c r="C206" s="175"/>
      <c r="D206" s="175"/>
      <c r="E206" s="175"/>
      <c r="F206" s="175"/>
      <c r="G206" s="175"/>
      <c r="H206" s="175"/>
      <c r="I206" s="175"/>
      <c r="J206" s="175"/>
      <c r="K206" s="175"/>
      <c r="L206" s="175"/>
      <c r="M206" s="65"/>
      <c r="N206" s="65"/>
      <c r="O206" s="65"/>
      <c r="P206" s="65"/>
      <c r="Q206" s="65"/>
      <c r="R206" s="65"/>
      <c r="S206" s="65"/>
      <c r="T206" s="65"/>
      <c r="U206" s="65"/>
      <c r="V206" s="65"/>
      <c r="W206" s="65"/>
      <c r="X206" s="65"/>
      <c r="Y206" s="65"/>
      <c r="Z206" s="175"/>
      <c r="AA206" s="175"/>
      <c r="AB206" s="175"/>
      <c r="AC206" s="175"/>
      <c r="AD206" s="175"/>
      <c r="AE206" s="175"/>
      <c r="AF206" s="175"/>
      <c r="AG206" s="175"/>
      <c r="AH206" s="175"/>
      <c r="AI206" s="175"/>
      <c r="AJ206" s="175"/>
      <c r="AK206" s="65"/>
    </row>
    <row r="207" spans="1:37" ht="15">
      <c r="A207" s="64"/>
      <c r="B207" s="175"/>
      <c r="C207" s="175"/>
      <c r="D207" s="175"/>
      <c r="E207" s="175"/>
      <c r="F207" s="175"/>
      <c r="G207" s="175"/>
      <c r="H207" s="175"/>
      <c r="I207" s="175"/>
      <c r="J207" s="175"/>
      <c r="K207" s="175"/>
      <c r="L207" s="175"/>
      <c r="M207" s="65"/>
      <c r="N207" s="65"/>
      <c r="O207" s="65"/>
      <c r="P207" s="65"/>
      <c r="Q207" s="65"/>
      <c r="R207" s="65"/>
      <c r="S207" s="65"/>
      <c r="T207" s="65"/>
      <c r="U207" s="65"/>
      <c r="V207" s="65"/>
      <c r="W207" s="65"/>
      <c r="X207" s="65"/>
      <c r="Y207" s="65"/>
      <c r="Z207" s="175"/>
      <c r="AA207" s="175"/>
      <c r="AB207" s="175"/>
      <c r="AC207" s="175"/>
      <c r="AD207" s="175"/>
      <c r="AE207" s="175"/>
      <c r="AF207" s="175"/>
      <c r="AG207" s="175"/>
      <c r="AH207" s="175"/>
      <c r="AI207" s="175"/>
      <c r="AJ207" s="175"/>
      <c r="AK207" s="65"/>
    </row>
    <row r="208" spans="1:37" ht="15">
      <c r="A208" s="64"/>
      <c r="B208" s="175"/>
      <c r="C208" s="175"/>
      <c r="D208" s="175"/>
      <c r="E208" s="175"/>
      <c r="F208" s="175"/>
      <c r="G208" s="175"/>
      <c r="H208" s="175"/>
      <c r="I208" s="175"/>
      <c r="J208" s="175"/>
      <c r="K208" s="175"/>
      <c r="L208" s="175"/>
      <c r="M208" s="65"/>
      <c r="N208" s="65"/>
      <c r="O208" s="65"/>
      <c r="P208" s="65"/>
      <c r="Q208" s="65"/>
      <c r="R208" s="65"/>
      <c r="S208" s="65"/>
      <c r="T208" s="65"/>
      <c r="U208" s="65"/>
      <c r="V208" s="65"/>
      <c r="W208" s="65"/>
      <c r="X208" s="65"/>
      <c r="Y208" s="65"/>
      <c r="Z208" s="175"/>
      <c r="AA208" s="175"/>
      <c r="AB208" s="175"/>
      <c r="AC208" s="175"/>
      <c r="AD208" s="175"/>
      <c r="AE208" s="175"/>
      <c r="AF208" s="175"/>
      <c r="AG208" s="175"/>
      <c r="AH208" s="175"/>
      <c r="AI208" s="175"/>
      <c r="AJ208" s="175"/>
      <c r="AK208" s="65"/>
    </row>
    <row r="209" spans="1:37" ht="15">
      <c r="A209" s="64"/>
      <c r="B209" s="175"/>
      <c r="C209" s="175"/>
      <c r="D209" s="175"/>
      <c r="E209" s="175"/>
      <c r="F209" s="175"/>
      <c r="G209" s="175"/>
      <c r="H209" s="175"/>
      <c r="I209" s="175"/>
      <c r="J209" s="175"/>
      <c r="K209" s="175"/>
      <c r="L209" s="175"/>
      <c r="M209" s="65"/>
      <c r="N209" s="65"/>
      <c r="O209" s="65"/>
      <c r="P209" s="65"/>
      <c r="Q209" s="65"/>
      <c r="R209" s="65"/>
      <c r="S209" s="65"/>
      <c r="T209" s="65"/>
      <c r="U209" s="65"/>
      <c r="V209" s="65"/>
      <c r="W209" s="65"/>
      <c r="X209" s="65"/>
      <c r="Y209" s="65"/>
      <c r="Z209" s="175"/>
      <c r="AA209" s="175"/>
      <c r="AB209" s="175"/>
      <c r="AC209" s="175"/>
      <c r="AD209" s="175"/>
      <c r="AE209" s="175"/>
      <c r="AF209" s="175"/>
      <c r="AG209" s="175"/>
      <c r="AH209" s="175"/>
      <c r="AI209" s="175"/>
      <c r="AJ209" s="175"/>
      <c r="AK209" s="65"/>
    </row>
    <row r="210" spans="1:37" ht="15">
      <c r="A210" s="64"/>
      <c r="B210" s="175"/>
      <c r="C210" s="175"/>
      <c r="D210" s="175"/>
      <c r="E210" s="175"/>
      <c r="F210" s="175"/>
      <c r="G210" s="175"/>
      <c r="H210" s="175"/>
      <c r="I210" s="175"/>
      <c r="J210" s="175"/>
      <c r="K210" s="175"/>
      <c r="L210" s="175"/>
      <c r="M210" s="65"/>
      <c r="N210" s="65"/>
      <c r="O210" s="65"/>
      <c r="P210" s="65"/>
      <c r="Q210" s="65"/>
      <c r="R210" s="65"/>
      <c r="S210" s="65"/>
      <c r="T210" s="65"/>
      <c r="U210" s="65"/>
      <c r="V210" s="65"/>
      <c r="W210" s="65"/>
      <c r="X210" s="65"/>
      <c r="Y210" s="65"/>
      <c r="Z210" s="175"/>
      <c r="AA210" s="175"/>
      <c r="AB210" s="175"/>
      <c r="AC210" s="175"/>
      <c r="AD210" s="175"/>
      <c r="AE210" s="175"/>
      <c r="AF210" s="175"/>
      <c r="AG210" s="175"/>
      <c r="AH210" s="175"/>
      <c r="AI210" s="175"/>
      <c r="AJ210" s="175"/>
      <c r="AK210" s="65"/>
    </row>
    <row r="211" spans="1:37" ht="15">
      <c r="A211" s="64"/>
      <c r="B211" s="175"/>
      <c r="C211" s="175"/>
      <c r="D211" s="175"/>
      <c r="E211" s="175"/>
      <c r="F211" s="175"/>
      <c r="G211" s="175"/>
      <c r="H211" s="175"/>
      <c r="I211" s="175"/>
      <c r="J211" s="175"/>
      <c r="K211" s="175"/>
      <c r="L211" s="175"/>
      <c r="M211" s="65"/>
      <c r="N211" s="65"/>
      <c r="O211" s="65"/>
      <c r="P211" s="65"/>
      <c r="Q211" s="65"/>
      <c r="R211" s="65"/>
      <c r="S211" s="65"/>
      <c r="T211" s="65"/>
      <c r="U211" s="65"/>
      <c r="V211" s="65"/>
      <c r="W211" s="65"/>
      <c r="X211" s="65"/>
      <c r="Y211" s="65"/>
      <c r="Z211" s="175"/>
      <c r="AA211" s="175"/>
      <c r="AB211" s="175"/>
      <c r="AC211" s="175"/>
      <c r="AD211" s="175"/>
      <c r="AE211" s="175"/>
      <c r="AF211" s="175"/>
      <c r="AG211" s="175"/>
      <c r="AH211" s="175"/>
      <c r="AI211" s="175"/>
      <c r="AJ211" s="175"/>
      <c r="AK211" s="65"/>
    </row>
    <row r="212" spans="1:37" ht="15">
      <c r="A212" s="64"/>
      <c r="B212" s="175"/>
      <c r="C212" s="175"/>
      <c r="D212" s="175"/>
      <c r="E212" s="175"/>
      <c r="F212" s="175"/>
      <c r="G212" s="175"/>
      <c r="H212" s="175"/>
      <c r="I212" s="175"/>
      <c r="J212" s="175"/>
      <c r="K212" s="175"/>
      <c r="L212" s="175"/>
      <c r="M212" s="65"/>
      <c r="N212" s="65"/>
      <c r="O212" s="65"/>
      <c r="P212" s="65"/>
      <c r="Q212" s="65"/>
      <c r="R212" s="65"/>
      <c r="S212" s="65"/>
      <c r="T212" s="65"/>
      <c r="U212" s="65"/>
      <c r="V212" s="65"/>
      <c r="W212" s="65"/>
      <c r="X212" s="65"/>
      <c r="Y212" s="65"/>
      <c r="Z212" s="175"/>
      <c r="AA212" s="175"/>
      <c r="AB212" s="175"/>
      <c r="AC212" s="175"/>
      <c r="AD212" s="175"/>
      <c r="AE212" s="175"/>
      <c r="AF212" s="175"/>
      <c r="AG212" s="175"/>
      <c r="AH212" s="175"/>
      <c r="AI212" s="175"/>
      <c r="AJ212" s="175"/>
      <c r="AK212" s="65"/>
    </row>
    <row r="213" spans="1:37" ht="15">
      <c r="A213" s="64"/>
      <c r="B213" s="175"/>
      <c r="C213" s="175"/>
      <c r="D213" s="175"/>
      <c r="E213" s="175"/>
      <c r="F213" s="175"/>
      <c r="G213" s="175"/>
      <c r="H213" s="175"/>
      <c r="I213" s="175"/>
      <c r="J213" s="175"/>
      <c r="K213" s="175"/>
      <c r="L213" s="175"/>
      <c r="M213" s="65"/>
      <c r="N213" s="65"/>
      <c r="O213" s="65"/>
      <c r="P213" s="65"/>
      <c r="Q213" s="65"/>
      <c r="R213" s="65"/>
      <c r="S213" s="65"/>
      <c r="T213" s="65"/>
      <c r="U213" s="65"/>
      <c r="V213" s="65"/>
      <c r="W213" s="65"/>
      <c r="X213" s="65"/>
      <c r="Y213" s="65"/>
      <c r="Z213" s="175"/>
      <c r="AA213" s="175"/>
      <c r="AB213" s="175"/>
      <c r="AC213" s="175"/>
      <c r="AD213" s="175"/>
      <c r="AE213" s="175"/>
      <c r="AF213" s="175"/>
      <c r="AG213" s="175"/>
      <c r="AH213" s="175"/>
      <c r="AI213" s="175"/>
      <c r="AJ213" s="175"/>
      <c r="AK213" s="65"/>
    </row>
    <row r="214" spans="1:37" ht="15">
      <c r="A214" s="64"/>
      <c r="B214" s="175"/>
      <c r="C214" s="175"/>
      <c r="D214" s="175"/>
      <c r="E214" s="175"/>
      <c r="F214" s="175"/>
      <c r="G214" s="175"/>
      <c r="H214" s="175"/>
      <c r="I214" s="175"/>
      <c r="J214" s="175"/>
      <c r="K214" s="175"/>
      <c r="L214" s="175"/>
      <c r="M214" s="65"/>
      <c r="N214" s="65"/>
      <c r="O214" s="65"/>
      <c r="P214" s="65"/>
      <c r="Q214" s="65"/>
      <c r="R214" s="65"/>
      <c r="S214" s="65"/>
      <c r="T214" s="65"/>
      <c r="U214" s="65"/>
      <c r="V214" s="65"/>
      <c r="W214" s="65"/>
      <c r="X214" s="65"/>
      <c r="Y214" s="65"/>
      <c r="Z214" s="175"/>
      <c r="AA214" s="175"/>
      <c r="AB214" s="175"/>
      <c r="AC214" s="175"/>
      <c r="AD214" s="175"/>
      <c r="AE214" s="175"/>
      <c r="AF214" s="175"/>
      <c r="AG214" s="175"/>
      <c r="AH214" s="175"/>
      <c r="AI214" s="175"/>
      <c r="AJ214" s="175"/>
      <c r="AK214" s="65"/>
    </row>
    <row r="215" spans="1:37" ht="15">
      <c r="A215" s="64"/>
      <c r="B215" s="175"/>
      <c r="C215" s="175"/>
      <c r="D215" s="175"/>
      <c r="E215" s="175"/>
      <c r="F215" s="175"/>
      <c r="G215" s="175"/>
      <c r="H215" s="175"/>
      <c r="I215" s="175"/>
      <c r="J215" s="175"/>
      <c r="K215" s="175"/>
      <c r="L215" s="175"/>
      <c r="M215" s="65"/>
      <c r="N215" s="65"/>
      <c r="O215" s="65"/>
      <c r="P215" s="65"/>
      <c r="Q215" s="65"/>
      <c r="R215" s="65"/>
      <c r="S215" s="65"/>
      <c r="T215" s="65"/>
      <c r="U215" s="65"/>
      <c r="V215" s="65"/>
      <c r="W215" s="65"/>
      <c r="X215" s="65"/>
      <c r="Y215" s="65"/>
      <c r="Z215" s="175"/>
      <c r="AA215" s="175"/>
      <c r="AB215" s="175"/>
      <c r="AC215" s="175"/>
      <c r="AD215" s="175"/>
      <c r="AE215" s="175"/>
      <c r="AF215" s="175"/>
      <c r="AG215" s="175"/>
      <c r="AH215" s="175"/>
      <c r="AI215" s="175"/>
      <c r="AJ215" s="175"/>
      <c r="AK215" s="65"/>
    </row>
    <row r="216" spans="1:37" ht="15">
      <c r="A216" s="64"/>
      <c r="B216" s="175"/>
      <c r="C216" s="175"/>
      <c r="D216" s="175"/>
      <c r="E216" s="175"/>
      <c r="F216" s="175"/>
      <c r="G216" s="175"/>
      <c r="H216" s="175"/>
      <c r="I216" s="175"/>
      <c r="J216" s="175"/>
      <c r="K216" s="175"/>
      <c r="L216" s="175"/>
      <c r="M216" s="65"/>
      <c r="N216" s="65"/>
      <c r="O216" s="65"/>
      <c r="P216" s="65"/>
      <c r="Q216" s="65"/>
      <c r="R216" s="65"/>
      <c r="S216" s="65"/>
      <c r="T216" s="65"/>
      <c r="U216" s="65"/>
      <c r="V216" s="65"/>
      <c r="W216" s="65"/>
      <c r="X216" s="65"/>
      <c r="Y216" s="65"/>
      <c r="Z216" s="175"/>
      <c r="AA216" s="175"/>
      <c r="AB216" s="175"/>
      <c r="AC216" s="175"/>
      <c r="AD216" s="175"/>
      <c r="AE216" s="175"/>
      <c r="AF216" s="175"/>
      <c r="AG216" s="175"/>
      <c r="AH216" s="175"/>
      <c r="AI216" s="175"/>
      <c r="AJ216" s="175"/>
      <c r="AK216" s="65"/>
    </row>
    <row r="217" spans="1:37" ht="15">
      <c r="A217" s="64"/>
      <c r="B217" s="175"/>
      <c r="C217" s="175"/>
      <c r="D217" s="175"/>
      <c r="E217" s="175"/>
      <c r="F217" s="175"/>
      <c r="G217" s="175"/>
      <c r="H217" s="175"/>
      <c r="I217" s="175"/>
      <c r="J217" s="175"/>
      <c r="K217" s="175"/>
      <c r="L217" s="175"/>
      <c r="M217" s="65"/>
      <c r="N217" s="65"/>
      <c r="O217" s="65"/>
      <c r="P217" s="65"/>
      <c r="Q217" s="65"/>
      <c r="R217" s="65"/>
      <c r="S217" s="65"/>
      <c r="T217" s="65"/>
      <c r="U217" s="65"/>
      <c r="V217" s="65"/>
      <c r="W217" s="65"/>
      <c r="X217" s="65"/>
      <c r="Y217" s="65"/>
      <c r="Z217" s="175"/>
      <c r="AA217" s="175"/>
      <c r="AB217" s="175"/>
      <c r="AC217" s="175"/>
      <c r="AD217" s="175"/>
      <c r="AE217" s="175"/>
      <c r="AF217" s="175"/>
      <c r="AG217" s="175"/>
      <c r="AH217" s="175"/>
      <c r="AI217" s="175"/>
      <c r="AJ217" s="175"/>
      <c r="AK217" s="65"/>
    </row>
    <row r="218" spans="1:37" ht="15">
      <c r="A218" s="12"/>
      <c r="B218" s="175"/>
      <c r="C218" s="175"/>
      <c r="D218" s="175"/>
      <c r="E218" s="175"/>
      <c r="F218" s="175"/>
      <c r="G218" s="175"/>
      <c r="H218" s="175"/>
      <c r="I218" s="175"/>
      <c r="J218" s="175"/>
      <c r="K218" s="175"/>
      <c r="L218" s="175"/>
      <c r="M218" s="65"/>
      <c r="N218" s="65"/>
      <c r="O218" s="65"/>
      <c r="P218" s="65"/>
      <c r="Q218" s="65"/>
      <c r="R218" s="65"/>
      <c r="S218" s="65"/>
      <c r="T218" s="65"/>
      <c r="U218" s="65"/>
      <c r="V218" s="65"/>
      <c r="W218" s="65"/>
      <c r="X218" s="65"/>
      <c r="Y218" s="65"/>
      <c r="Z218" s="175"/>
      <c r="AA218" s="175"/>
      <c r="AB218" s="175"/>
      <c r="AC218" s="175"/>
      <c r="AD218" s="175"/>
      <c r="AE218" s="175"/>
      <c r="AF218" s="175"/>
      <c r="AG218" s="175"/>
      <c r="AH218" s="175"/>
      <c r="AI218" s="175"/>
      <c r="AJ218" s="175"/>
      <c r="AK218" s="65"/>
    </row>
    <row r="219" spans="1:37" ht="15">
      <c r="A219" s="196"/>
      <c r="B219" s="175"/>
      <c r="C219" s="175"/>
      <c r="D219" s="175"/>
      <c r="E219" s="175"/>
      <c r="F219" s="175"/>
      <c r="G219" s="175"/>
      <c r="H219" s="175"/>
      <c r="I219" s="175"/>
      <c r="J219" s="175"/>
      <c r="K219" s="175"/>
      <c r="L219" s="175"/>
      <c r="M219" s="65"/>
      <c r="N219" s="65"/>
      <c r="O219" s="65"/>
      <c r="P219" s="65"/>
      <c r="Q219" s="65"/>
      <c r="R219" s="65"/>
      <c r="S219" s="65"/>
      <c r="T219" s="65"/>
      <c r="U219" s="65"/>
      <c r="V219" s="65"/>
      <c r="W219" s="65"/>
      <c r="X219" s="65"/>
      <c r="Y219" s="65"/>
      <c r="Z219" s="175"/>
      <c r="AA219" s="175"/>
      <c r="AB219" s="175"/>
      <c r="AC219" s="175"/>
      <c r="AD219" s="175"/>
      <c r="AE219" s="175"/>
      <c r="AF219" s="175"/>
      <c r="AG219" s="175"/>
      <c r="AH219" s="175"/>
      <c r="AI219" s="175"/>
      <c r="AJ219" s="175"/>
      <c r="AK219" s="65"/>
    </row>
    <row r="220" spans="1:37" ht="15">
      <c r="A220" s="64"/>
      <c r="B220" s="175"/>
      <c r="C220" s="175"/>
      <c r="D220" s="175"/>
      <c r="E220" s="175"/>
      <c r="F220" s="175"/>
      <c r="G220" s="175"/>
      <c r="H220" s="175"/>
      <c r="I220" s="175"/>
      <c r="J220" s="175"/>
      <c r="K220" s="175"/>
      <c r="L220" s="175"/>
      <c r="M220" s="65"/>
      <c r="N220" s="65"/>
      <c r="O220" s="65"/>
      <c r="P220" s="65"/>
      <c r="Q220" s="65"/>
      <c r="R220" s="65"/>
      <c r="S220" s="65"/>
      <c r="T220" s="65"/>
      <c r="U220" s="65"/>
      <c r="V220" s="65"/>
      <c r="W220" s="65"/>
      <c r="X220" s="65"/>
      <c r="Y220" s="65"/>
      <c r="Z220" s="175"/>
      <c r="AA220" s="175"/>
      <c r="AB220" s="175"/>
      <c r="AC220" s="175"/>
      <c r="AD220" s="175"/>
      <c r="AE220" s="175"/>
      <c r="AF220" s="175"/>
      <c r="AG220" s="175"/>
      <c r="AH220" s="175"/>
      <c r="AI220" s="175"/>
      <c r="AJ220" s="175"/>
      <c r="AK220" s="65"/>
    </row>
    <row r="221" spans="1:37" ht="15">
      <c r="A221" s="64"/>
      <c r="B221" s="175"/>
      <c r="C221" s="175"/>
      <c r="D221" s="175"/>
      <c r="E221" s="175"/>
      <c r="F221" s="175"/>
      <c r="G221" s="175"/>
      <c r="H221" s="175"/>
      <c r="I221" s="175"/>
      <c r="J221" s="175"/>
      <c r="K221" s="175"/>
      <c r="L221" s="175"/>
      <c r="M221" s="65"/>
      <c r="N221" s="65"/>
      <c r="O221" s="65"/>
      <c r="P221" s="65"/>
      <c r="Q221" s="65"/>
      <c r="R221" s="65"/>
      <c r="S221" s="65"/>
      <c r="T221" s="65"/>
      <c r="U221" s="65"/>
      <c r="V221" s="65"/>
      <c r="W221" s="65"/>
      <c r="X221" s="65"/>
      <c r="Y221" s="65"/>
      <c r="Z221" s="175"/>
      <c r="AA221" s="175"/>
      <c r="AB221" s="175"/>
      <c r="AC221" s="175"/>
      <c r="AD221" s="175"/>
      <c r="AE221" s="175"/>
      <c r="AF221" s="175"/>
      <c r="AG221" s="175"/>
      <c r="AH221" s="175"/>
      <c r="AI221" s="175"/>
      <c r="AJ221" s="175"/>
      <c r="AK221" s="65"/>
    </row>
    <row r="222" spans="1:37" ht="15">
      <c r="A222" s="64"/>
      <c r="B222" s="175"/>
      <c r="C222" s="175"/>
      <c r="D222" s="175"/>
      <c r="E222" s="175"/>
      <c r="F222" s="175"/>
      <c r="G222" s="175"/>
      <c r="H222" s="175"/>
      <c r="I222" s="175"/>
      <c r="J222" s="175"/>
      <c r="K222" s="175"/>
      <c r="L222" s="175"/>
      <c r="M222" s="65"/>
      <c r="N222" s="65"/>
      <c r="O222" s="65"/>
      <c r="P222" s="65"/>
      <c r="Q222" s="65"/>
      <c r="R222" s="65"/>
      <c r="S222" s="65"/>
      <c r="T222" s="65"/>
      <c r="U222" s="65"/>
      <c r="V222" s="65"/>
      <c r="W222" s="65"/>
      <c r="X222" s="65"/>
      <c r="Y222" s="65"/>
      <c r="Z222" s="175"/>
      <c r="AA222" s="175"/>
      <c r="AB222" s="175"/>
      <c r="AC222" s="175"/>
      <c r="AD222" s="175"/>
      <c r="AE222" s="175"/>
      <c r="AF222" s="175"/>
      <c r="AG222" s="175"/>
      <c r="AH222" s="175"/>
      <c r="AI222" s="175"/>
      <c r="AJ222" s="175"/>
      <c r="AK222" s="65"/>
    </row>
    <row r="223" spans="1:37" ht="15">
      <c r="A223" s="64"/>
      <c r="B223" s="175"/>
      <c r="C223" s="175"/>
      <c r="D223" s="175"/>
      <c r="E223" s="175"/>
      <c r="F223" s="175"/>
      <c r="G223" s="175"/>
      <c r="H223" s="175"/>
      <c r="I223" s="175"/>
      <c r="J223" s="175"/>
      <c r="K223" s="175"/>
      <c r="L223" s="175"/>
      <c r="M223" s="65"/>
      <c r="N223" s="65"/>
      <c r="O223" s="65"/>
      <c r="P223" s="65"/>
      <c r="Q223" s="65"/>
      <c r="R223" s="65"/>
      <c r="S223" s="65"/>
      <c r="T223" s="65"/>
      <c r="U223" s="65"/>
      <c r="V223" s="65"/>
      <c r="W223" s="65"/>
      <c r="X223" s="65"/>
      <c r="Y223" s="65"/>
      <c r="Z223" s="175"/>
      <c r="AA223" s="175"/>
      <c r="AB223" s="175"/>
      <c r="AC223" s="175"/>
      <c r="AD223" s="175"/>
      <c r="AE223" s="175"/>
      <c r="AF223" s="175"/>
      <c r="AG223" s="175"/>
      <c r="AH223" s="175"/>
      <c r="AI223" s="175"/>
      <c r="AJ223" s="175"/>
      <c r="AK223" s="65"/>
    </row>
    <row r="224" spans="1:37" ht="15">
      <c r="A224" s="196"/>
      <c r="B224" s="175"/>
      <c r="C224" s="175"/>
      <c r="D224" s="175"/>
      <c r="E224" s="175"/>
      <c r="F224" s="175"/>
      <c r="G224" s="175"/>
      <c r="H224" s="175"/>
      <c r="I224" s="175"/>
      <c r="J224" s="175"/>
      <c r="K224" s="175"/>
      <c r="L224" s="175"/>
      <c r="M224" s="65"/>
      <c r="N224" s="65"/>
      <c r="O224" s="65"/>
      <c r="P224" s="65"/>
      <c r="Q224" s="65"/>
      <c r="R224" s="65"/>
      <c r="S224" s="65"/>
      <c r="T224" s="65"/>
      <c r="U224" s="65"/>
      <c r="V224" s="65"/>
      <c r="W224" s="65"/>
      <c r="X224" s="65"/>
      <c r="Y224" s="65"/>
      <c r="Z224" s="175"/>
      <c r="AA224" s="175"/>
      <c r="AB224" s="175"/>
      <c r="AC224" s="175"/>
      <c r="AD224" s="175"/>
      <c r="AE224" s="175"/>
      <c r="AF224" s="175"/>
      <c r="AG224" s="175"/>
      <c r="AH224" s="175"/>
      <c r="AI224" s="175"/>
      <c r="AJ224" s="175"/>
      <c r="AK224" s="65"/>
    </row>
    <row r="225" spans="1:37" ht="15">
      <c r="A225" s="64"/>
      <c r="B225" s="175"/>
      <c r="C225" s="175"/>
      <c r="D225" s="175"/>
      <c r="E225" s="175"/>
      <c r="F225" s="175"/>
      <c r="G225" s="175"/>
      <c r="H225" s="175"/>
      <c r="I225" s="175"/>
      <c r="J225" s="175"/>
      <c r="K225" s="175"/>
      <c r="L225" s="175"/>
      <c r="M225" s="65"/>
      <c r="N225" s="65"/>
      <c r="O225" s="65"/>
      <c r="P225" s="65"/>
      <c r="Q225" s="65"/>
      <c r="R225" s="65"/>
      <c r="S225" s="65"/>
      <c r="T225" s="65"/>
      <c r="U225" s="65"/>
      <c r="V225" s="65"/>
      <c r="W225" s="65"/>
      <c r="X225" s="65"/>
      <c r="Y225" s="65"/>
      <c r="Z225" s="175"/>
      <c r="AA225" s="175"/>
      <c r="AB225" s="175"/>
      <c r="AC225" s="175"/>
      <c r="AD225" s="175"/>
      <c r="AE225" s="175"/>
      <c r="AF225" s="175"/>
      <c r="AG225" s="175"/>
      <c r="AH225" s="175"/>
      <c r="AI225" s="175"/>
      <c r="AJ225" s="175"/>
      <c r="AK225" s="65"/>
    </row>
    <row r="226" spans="1:37" ht="15">
      <c r="A226" s="64"/>
      <c r="B226" s="175"/>
      <c r="C226" s="175"/>
      <c r="D226" s="175"/>
      <c r="E226" s="175"/>
      <c r="F226" s="175"/>
      <c r="G226" s="175"/>
      <c r="H226" s="175"/>
      <c r="I226" s="175"/>
      <c r="J226" s="175"/>
      <c r="K226" s="175"/>
      <c r="L226" s="175"/>
      <c r="M226" s="65"/>
      <c r="N226" s="65"/>
      <c r="O226" s="65"/>
      <c r="P226" s="65"/>
      <c r="Q226" s="65"/>
      <c r="R226" s="65"/>
      <c r="S226" s="65"/>
      <c r="T226" s="65"/>
      <c r="U226" s="65"/>
      <c r="V226" s="65"/>
      <c r="W226" s="65"/>
      <c r="X226" s="65"/>
      <c r="Y226" s="65"/>
      <c r="Z226" s="175"/>
      <c r="AA226" s="175"/>
      <c r="AB226" s="175"/>
      <c r="AC226" s="175"/>
      <c r="AD226" s="175"/>
      <c r="AE226" s="175"/>
      <c r="AF226" s="175"/>
      <c r="AG226" s="175"/>
      <c r="AH226" s="175"/>
      <c r="AI226" s="175"/>
      <c r="AJ226" s="175"/>
      <c r="AK226" s="65"/>
    </row>
    <row r="227" spans="1:37" ht="15">
      <c r="A227" s="12"/>
      <c r="B227" s="175"/>
      <c r="C227" s="175"/>
      <c r="D227" s="175"/>
      <c r="E227" s="175"/>
      <c r="F227" s="175"/>
      <c r="G227" s="175"/>
      <c r="H227" s="175"/>
      <c r="I227" s="175"/>
      <c r="J227" s="175"/>
      <c r="K227" s="175"/>
      <c r="L227" s="175"/>
      <c r="M227" s="65"/>
      <c r="N227" s="65"/>
      <c r="O227" s="65"/>
      <c r="P227" s="65"/>
      <c r="Q227" s="65"/>
      <c r="R227" s="65"/>
      <c r="S227" s="65"/>
      <c r="T227" s="65"/>
      <c r="U227" s="65"/>
      <c r="V227" s="65"/>
      <c r="W227" s="65"/>
      <c r="X227" s="65"/>
      <c r="Y227" s="65"/>
      <c r="Z227" s="175"/>
      <c r="AA227" s="175"/>
      <c r="AB227" s="175"/>
      <c r="AC227" s="175"/>
      <c r="AD227" s="175"/>
      <c r="AE227" s="175"/>
      <c r="AF227" s="175"/>
      <c r="AG227" s="175"/>
      <c r="AH227" s="175"/>
      <c r="AI227" s="175"/>
      <c r="AJ227" s="175"/>
      <c r="AK227" s="65"/>
    </row>
    <row r="228" spans="1:37" ht="15">
      <c r="A228" s="64"/>
      <c r="B228" s="175"/>
      <c r="C228" s="175"/>
      <c r="D228" s="175"/>
      <c r="E228" s="175"/>
      <c r="F228" s="175"/>
      <c r="G228" s="175"/>
      <c r="H228" s="175"/>
      <c r="I228" s="175"/>
      <c r="J228" s="175"/>
      <c r="K228" s="175"/>
      <c r="L228" s="175"/>
      <c r="M228" s="65"/>
      <c r="N228" s="65"/>
      <c r="O228" s="65"/>
      <c r="P228" s="65"/>
      <c r="Q228" s="65"/>
      <c r="R228" s="65"/>
      <c r="S228" s="65"/>
      <c r="T228" s="65"/>
      <c r="U228" s="65"/>
      <c r="V228" s="65"/>
      <c r="W228" s="65"/>
      <c r="X228" s="65"/>
      <c r="Y228" s="65"/>
      <c r="Z228" s="175"/>
      <c r="AA228" s="175"/>
      <c r="AB228" s="175"/>
      <c r="AC228" s="175"/>
      <c r="AD228" s="175"/>
      <c r="AE228" s="175"/>
      <c r="AF228" s="175"/>
      <c r="AG228" s="175"/>
      <c r="AH228" s="175"/>
      <c r="AI228" s="175"/>
      <c r="AJ228" s="175"/>
      <c r="AK228" s="65"/>
    </row>
    <row r="229" spans="1:37" ht="15">
      <c r="A229" s="64"/>
      <c r="B229" s="175"/>
      <c r="C229" s="175"/>
      <c r="D229" s="175"/>
      <c r="E229" s="175"/>
      <c r="F229" s="175"/>
      <c r="G229" s="175"/>
      <c r="H229" s="175"/>
      <c r="I229" s="175"/>
      <c r="J229" s="175"/>
      <c r="K229" s="175"/>
      <c r="L229" s="175"/>
      <c r="M229" s="65"/>
      <c r="N229" s="65"/>
      <c r="O229" s="65"/>
      <c r="P229" s="65"/>
      <c r="Q229" s="65"/>
      <c r="R229" s="65"/>
      <c r="S229" s="65"/>
      <c r="T229" s="65"/>
      <c r="U229" s="65"/>
      <c r="V229" s="65"/>
      <c r="W229" s="65"/>
      <c r="X229" s="65"/>
      <c r="Y229" s="65"/>
      <c r="Z229" s="175"/>
      <c r="AA229" s="175"/>
      <c r="AB229" s="175"/>
      <c r="AC229" s="175"/>
      <c r="AD229" s="175"/>
      <c r="AE229" s="175"/>
      <c r="AF229" s="175"/>
      <c r="AG229" s="175"/>
      <c r="AH229" s="175"/>
      <c r="AI229" s="175"/>
      <c r="AJ229" s="175"/>
      <c r="AK229" s="65"/>
    </row>
    <row r="230" spans="1:37" ht="15">
      <c r="A230" s="64"/>
      <c r="B230" s="175"/>
      <c r="C230" s="175"/>
      <c r="D230" s="175"/>
      <c r="E230" s="175"/>
      <c r="F230" s="175"/>
      <c r="G230" s="175"/>
      <c r="H230" s="175"/>
      <c r="I230" s="175"/>
      <c r="J230" s="175"/>
      <c r="K230" s="175"/>
      <c r="L230" s="175"/>
      <c r="M230" s="65"/>
      <c r="N230" s="65"/>
      <c r="O230" s="65"/>
      <c r="P230" s="65"/>
      <c r="Q230" s="65"/>
      <c r="R230" s="65"/>
      <c r="S230" s="65"/>
      <c r="T230" s="65"/>
      <c r="U230" s="65"/>
      <c r="V230" s="65"/>
      <c r="W230" s="65"/>
      <c r="X230" s="65"/>
      <c r="Y230" s="65"/>
      <c r="Z230" s="175"/>
      <c r="AA230" s="175"/>
      <c r="AB230" s="175"/>
      <c r="AC230" s="175"/>
      <c r="AD230" s="175"/>
      <c r="AE230" s="175"/>
      <c r="AF230" s="175"/>
      <c r="AG230" s="175"/>
      <c r="AH230" s="175"/>
      <c r="AI230" s="175"/>
      <c r="AJ230" s="175"/>
      <c r="AK230" s="65"/>
    </row>
    <row r="231" spans="1:37" ht="15">
      <c r="A231" s="64"/>
      <c r="B231" s="175"/>
      <c r="C231" s="175"/>
      <c r="D231" s="175"/>
      <c r="E231" s="175"/>
      <c r="F231" s="175"/>
      <c r="G231" s="175"/>
      <c r="H231" s="175"/>
      <c r="I231" s="175"/>
      <c r="J231" s="175"/>
      <c r="K231" s="175"/>
      <c r="L231" s="175"/>
      <c r="M231" s="65"/>
      <c r="N231" s="65"/>
      <c r="O231" s="65"/>
      <c r="P231" s="65"/>
      <c r="Q231" s="65"/>
      <c r="R231" s="65"/>
      <c r="S231" s="65"/>
      <c r="T231" s="65"/>
      <c r="U231" s="65"/>
      <c r="V231" s="65"/>
      <c r="W231" s="65"/>
      <c r="X231" s="65"/>
      <c r="Y231" s="65"/>
      <c r="Z231" s="175"/>
      <c r="AA231" s="175"/>
      <c r="AB231" s="175"/>
      <c r="AC231" s="175"/>
      <c r="AD231" s="175"/>
      <c r="AE231" s="175"/>
      <c r="AF231" s="175"/>
      <c r="AG231" s="175"/>
      <c r="AH231" s="175"/>
      <c r="AI231" s="175"/>
      <c r="AJ231" s="175"/>
      <c r="AK231" s="65"/>
    </row>
    <row r="232" spans="1:37" ht="15">
      <c r="A232" s="64"/>
      <c r="B232" s="175"/>
      <c r="C232" s="175"/>
      <c r="D232" s="175"/>
      <c r="E232" s="175"/>
      <c r="F232" s="175"/>
      <c r="G232" s="175"/>
      <c r="H232" s="175"/>
      <c r="I232" s="175"/>
      <c r="J232" s="175"/>
      <c r="K232" s="175"/>
      <c r="L232" s="175"/>
      <c r="M232" s="65"/>
      <c r="N232" s="65"/>
      <c r="O232" s="65"/>
      <c r="P232" s="65"/>
      <c r="Q232" s="65"/>
      <c r="R232" s="65"/>
      <c r="S232" s="65"/>
      <c r="T232" s="65"/>
      <c r="U232" s="65"/>
      <c r="V232" s="65"/>
      <c r="W232" s="65"/>
      <c r="X232" s="65"/>
      <c r="Y232" s="65"/>
      <c r="Z232" s="175"/>
      <c r="AA232" s="175"/>
      <c r="AB232" s="175"/>
      <c r="AC232" s="175"/>
      <c r="AD232" s="175"/>
      <c r="AE232" s="175"/>
      <c r="AF232" s="175"/>
      <c r="AG232" s="175"/>
      <c r="AH232" s="175"/>
      <c r="AI232" s="175"/>
      <c r="AJ232" s="175"/>
      <c r="AK232" s="65"/>
    </row>
    <row r="233" spans="1:37" ht="15">
      <c r="A233" s="12"/>
      <c r="B233" s="175"/>
      <c r="C233" s="175"/>
      <c r="D233" s="175"/>
      <c r="E233" s="175"/>
      <c r="F233" s="175"/>
      <c r="G233" s="175"/>
      <c r="H233" s="175"/>
      <c r="I233" s="175"/>
      <c r="J233" s="175"/>
      <c r="K233" s="175"/>
      <c r="L233" s="175"/>
      <c r="M233" s="65"/>
      <c r="N233" s="65"/>
      <c r="O233" s="65"/>
      <c r="P233" s="65"/>
      <c r="Q233" s="65"/>
      <c r="R233" s="65"/>
      <c r="S233" s="65"/>
      <c r="T233" s="65"/>
      <c r="U233" s="65"/>
      <c r="V233" s="65"/>
      <c r="W233" s="65"/>
      <c r="X233" s="65"/>
      <c r="Y233" s="65"/>
      <c r="Z233" s="175"/>
      <c r="AA233" s="175"/>
      <c r="AB233" s="175"/>
      <c r="AC233" s="175"/>
      <c r="AD233" s="175"/>
      <c r="AE233" s="175"/>
      <c r="AF233" s="175"/>
      <c r="AG233" s="175"/>
      <c r="AH233" s="175"/>
      <c r="AI233" s="175"/>
      <c r="AJ233" s="175"/>
      <c r="AK233" s="65"/>
    </row>
    <row r="234" spans="1:37" ht="15">
      <c r="A234" s="64"/>
      <c r="B234" s="175"/>
      <c r="C234" s="175"/>
      <c r="D234" s="175"/>
      <c r="E234" s="175"/>
      <c r="F234" s="175"/>
      <c r="G234" s="175"/>
      <c r="H234" s="175"/>
      <c r="I234" s="175"/>
      <c r="J234" s="175"/>
      <c r="K234" s="175"/>
      <c r="L234" s="175"/>
      <c r="M234" s="65"/>
      <c r="N234" s="65"/>
      <c r="O234" s="65"/>
      <c r="P234" s="65"/>
      <c r="Q234" s="65"/>
      <c r="R234" s="65"/>
      <c r="S234" s="65"/>
      <c r="T234" s="65"/>
      <c r="U234" s="65"/>
      <c r="V234" s="65"/>
      <c r="W234" s="65"/>
      <c r="X234" s="65"/>
      <c r="Y234" s="65"/>
      <c r="Z234" s="175"/>
      <c r="AA234" s="175"/>
      <c r="AB234" s="175"/>
      <c r="AC234" s="175"/>
      <c r="AD234" s="175"/>
      <c r="AE234" s="175"/>
      <c r="AF234" s="175"/>
      <c r="AG234" s="175"/>
      <c r="AH234" s="175"/>
      <c r="AI234" s="175"/>
      <c r="AJ234" s="175"/>
      <c r="AK234" s="65"/>
    </row>
    <row r="235" spans="1:37" ht="15">
      <c r="A235" s="197"/>
      <c r="B235" s="175"/>
      <c r="C235" s="175"/>
      <c r="D235" s="175"/>
      <c r="E235" s="175"/>
      <c r="F235" s="175"/>
      <c r="G235" s="175"/>
      <c r="H235" s="175"/>
      <c r="I235" s="175"/>
      <c r="J235" s="175"/>
      <c r="K235" s="175"/>
      <c r="L235" s="175"/>
      <c r="M235" s="65"/>
      <c r="N235" s="65"/>
      <c r="O235" s="65"/>
      <c r="P235" s="65"/>
      <c r="Q235" s="65"/>
      <c r="R235" s="65"/>
      <c r="S235" s="65"/>
      <c r="T235" s="65"/>
      <c r="U235" s="65"/>
      <c r="V235" s="65"/>
      <c r="W235" s="65"/>
      <c r="X235" s="65"/>
      <c r="Y235" s="65"/>
      <c r="Z235" s="175"/>
      <c r="AA235" s="175"/>
      <c r="AB235" s="175"/>
      <c r="AC235" s="175"/>
      <c r="AD235" s="175"/>
      <c r="AE235" s="175"/>
      <c r="AF235" s="175"/>
      <c r="AG235" s="175"/>
      <c r="AH235" s="175"/>
      <c r="AI235" s="175"/>
      <c r="AJ235" s="175"/>
      <c r="AK235" s="65"/>
    </row>
    <row r="236" spans="1:37" ht="15">
      <c r="A236" s="64"/>
      <c r="B236" s="175"/>
      <c r="C236" s="175"/>
      <c r="D236" s="175"/>
      <c r="E236" s="175"/>
      <c r="F236" s="175"/>
      <c r="G236" s="175"/>
      <c r="H236" s="175"/>
      <c r="I236" s="175"/>
      <c r="J236" s="175"/>
      <c r="K236" s="175"/>
      <c r="L236" s="175"/>
      <c r="M236" s="65"/>
      <c r="N236" s="65"/>
      <c r="O236" s="65"/>
      <c r="P236" s="65"/>
      <c r="Q236" s="65"/>
      <c r="R236" s="65"/>
      <c r="S236" s="65"/>
      <c r="T236" s="65"/>
      <c r="U236" s="65"/>
      <c r="V236" s="65"/>
      <c r="W236" s="65"/>
      <c r="X236" s="65"/>
      <c r="Y236" s="65"/>
      <c r="Z236" s="175"/>
      <c r="AA236" s="175"/>
      <c r="AB236" s="175"/>
      <c r="AC236" s="175"/>
      <c r="AD236" s="175"/>
      <c r="AE236" s="175"/>
      <c r="AF236" s="175"/>
      <c r="AG236" s="175"/>
      <c r="AH236" s="175"/>
      <c r="AI236" s="175"/>
      <c r="AJ236" s="175"/>
      <c r="AK236" s="65"/>
    </row>
    <row r="237" spans="1:37" ht="15">
      <c r="A237" s="64"/>
      <c r="B237" s="175"/>
      <c r="C237" s="175"/>
      <c r="D237" s="175"/>
      <c r="E237" s="175"/>
      <c r="F237" s="175"/>
      <c r="G237" s="175"/>
      <c r="H237" s="175"/>
      <c r="I237" s="175"/>
      <c r="J237" s="175"/>
      <c r="K237" s="175"/>
      <c r="L237" s="175"/>
      <c r="M237" s="65"/>
      <c r="N237" s="65"/>
      <c r="O237" s="65"/>
      <c r="P237" s="65"/>
      <c r="Q237" s="65"/>
      <c r="R237" s="65"/>
      <c r="S237" s="65"/>
      <c r="T237" s="65"/>
      <c r="U237" s="65"/>
      <c r="V237" s="65"/>
      <c r="W237" s="65"/>
      <c r="X237" s="65"/>
      <c r="Y237" s="65"/>
      <c r="Z237" s="175"/>
      <c r="AA237" s="175"/>
      <c r="AB237" s="175"/>
      <c r="AC237" s="175"/>
      <c r="AD237" s="175"/>
      <c r="AE237" s="175"/>
      <c r="AF237" s="175"/>
      <c r="AG237" s="175"/>
      <c r="AH237" s="175"/>
      <c r="AI237" s="175"/>
      <c r="AJ237" s="175"/>
      <c r="AK237" s="65"/>
    </row>
    <row r="238" spans="1:37" ht="15">
      <c r="A238" s="65"/>
      <c r="B238" s="175"/>
      <c r="C238" s="175"/>
      <c r="D238" s="175"/>
      <c r="E238" s="175"/>
      <c r="F238" s="175"/>
      <c r="G238" s="175"/>
      <c r="H238" s="175"/>
      <c r="I238" s="175"/>
      <c r="J238" s="175"/>
      <c r="K238" s="175"/>
      <c r="L238" s="175"/>
      <c r="M238" s="65"/>
      <c r="N238" s="65"/>
      <c r="O238" s="65"/>
      <c r="P238" s="65"/>
      <c r="Q238" s="65"/>
      <c r="R238" s="65"/>
      <c r="S238" s="65"/>
      <c r="T238" s="65"/>
      <c r="U238" s="65"/>
      <c r="V238" s="65"/>
      <c r="W238" s="65"/>
      <c r="X238" s="65"/>
      <c r="Y238" s="65"/>
      <c r="Z238" s="175"/>
      <c r="AA238" s="175"/>
      <c r="AB238" s="175"/>
      <c r="AC238" s="175"/>
      <c r="AD238" s="175"/>
      <c r="AE238" s="175"/>
      <c r="AF238" s="175"/>
      <c r="AG238" s="175"/>
      <c r="AH238" s="175"/>
      <c r="AI238" s="175"/>
      <c r="AJ238" s="175"/>
      <c r="AK238" s="65"/>
    </row>
    <row r="239" spans="1:37" ht="15.75">
      <c r="A239" s="195"/>
      <c r="B239" s="175"/>
      <c r="C239" s="175"/>
      <c r="D239" s="175"/>
      <c r="E239" s="175"/>
      <c r="F239" s="175"/>
      <c r="G239" s="175"/>
      <c r="H239" s="175"/>
      <c r="I239" s="175"/>
      <c r="J239" s="175"/>
      <c r="K239" s="175"/>
      <c r="L239" s="175"/>
      <c r="M239" s="65"/>
      <c r="N239" s="65"/>
      <c r="O239" s="65"/>
      <c r="P239" s="65"/>
      <c r="Q239" s="65"/>
      <c r="R239" s="65"/>
      <c r="S239" s="65"/>
      <c r="T239" s="65"/>
      <c r="U239" s="65"/>
      <c r="V239" s="65"/>
      <c r="W239" s="65"/>
      <c r="X239" s="65"/>
      <c r="Y239" s="65"/>
      <c r="Z239" s="175"/>
      <c r="AA239" s="175"/>
      <c r="AB239" s="175"/>
      <c r="AC239" s="175"/>
      <c r="AD239" s="175"/>
      <c r="AE239" s="175"/>
      <c r="AF239" s="175"/>
      <c r="AG239" s="175"/>
      <c r="AH239" s="175"/>
      <c r="AI239" s="175"/>
      <c r="AJ239" s="175"/>
      <c r="AK239" s="65"/>
    </row>
    <row r="240" spans="1:37" ht="15">
      <c r="A240" s="64"/>
      <c r="B240" s="175"/>
      <c r="C240" s="175"/>
      <c r="D240" s="175"/>
      <c r="E240" s="175"/>
      <c r="F240" s="175"/>
      <c r="G240" s="175"/>
      <c r="H240" s="175"/>
      <c r="I240" s="175"/>
      <c r="J240" s="175"/>
      <c r="K240" s="175"/>
      <c r="L240" s="175"/>
      <c r="M240" s="65"/>
      <c r="N240" s="65"/>
      <c r="O240" s="65"/>
      <c r="P240" s="65"/>
      <c r="Q240" s="65"/>
      <c r="R240" s="65"/>
      <c r="S240" s="65"/>
      <c r="T240" s="65"/>
      <c r="U240" s="65"/>
      <c r="V240" s="65"/>
      <c r="W240" s="65"/>
      <c r="X240" s="65"/>
      <c r="Y240" s="65"/>
      <c r="Z240" s="175"/>
      <c r="AA240" s="175"/>
      <c r="AB240" s="175"/>
      <c r="AC240" s="175"/>
      <c r="AD240" s="175"/>
      <c r="AE240" s="175"/>
      <c r="AF240" s="175"/>
      <c r="AG240" s="175"/>
      <c r="AH240" s="175"/>
      <c r="AI240" s="175"/>
      <c r="AJ240" s="175"/>
      <c r="AK240" s="65"/>
    </row>
    <row r="241" spans="1:37" ht="15">
      <c r="A241" s="64"/>
      <c r="B241" s="175"/>
      <c r="C241" s="175"/>
      <c r="D241" s="175"/>
      <c r="E241" s="175"/>
      <c r="F241" s="175"/>
      <c r="G241" s="175"/>
      <c r="H241" s="175"/>
      <c r="I241" s="175"/>
      <c r="J241" s="175"/>
      <c r="K241" s="175"/>
      <c r="L241" s="175"/>
      <c r="M241" s="65"/>
      <c r="N241" s="65"/>
      <c r="O241" s="65"/>
      <c r="P241" s="65"/>
      <c r="Q241" s="65"/>
      <c r="R241" s="65"/>
      <c r="S241" s="65"/>
      <c r="T241" s="65"/>
      <c r="U241" s="65"/>
      <c r="V241" s="65"/>
      <c r="W241" s="65"/>
      <c r="X241" s="65"/>
      <c r="Y241" s="65"/>
      <c r="Z241" s="175"/>
      <c r="AA241" s="175"/>
      <c r="AB241" s="175"/>
      <c r="AC241" s="175"/>
      <c r="AD241" s="175"/>
      <c r="AE241" s="175"/>
      <c r="AF241" s="175"/>
      <c r="AG241" s="175"/>
      <c r="AH241" s="175"/>
      <c r="AI241" s="175"/>
      <c r="AJ241" s="175"/>
      <c r="AK241" s="65"/>
    </row>
    <row r="242" spans="1:37" ht="15">
      <c r="A242" s="64"/>
      <c r="B242" s="175"/>
      <c r="C242" s="175"/>
      <c r="D242" s="175"/>
      <c r="E242" s="175"/>
      <c r="F242" s="175"/>
      <c r="G242" s="175"/>
      <c r="H242" s="175"/>
      <c r="I242" s="175"/>
      <c r="J242" s="175"/>
      <c r="K242" s="175"/>
      <c r="L242" s="175"/>
      <c r="M242" s="65"/>
      <c r="N242" s="65"/>
      <c r="O242" s="65"/>
      <c r="P242" s="65"/>
      <c r="Q242" s="65"/>
      <c r="R242" s="65"/>
      <c r="S242" s="65"/>
      <c r="T242" s="65"/>
      <c r="U242" s="65"/>
      <c r="V242" s="65"/>
      <c r="W242" s="65"/>
      <c r="X242" s="65"/>
      <c r="Y242" s="65"/>
      <c r="Z242" s="175"/>
      <c r="AA242" s="175"/>
      <c r="AB242" s="175"/>
      <c r="AC242" s="175"/>
      <c r="AD242" s="175"/>
      <c r="AE242" s="175"/>
      <c r="AF242" s="175"/>
      <c r="AG242" s="175"/>
      <c r="AH242" s="175"/>
      <c r="AI242" s="175"/>
      <c r="AJ242" s="175"/>
      <c r="AK242" s="65"/>
    </row>
    <row r="243" spans="1:37" ht="15">
      <c r="A243" s="64"/>
      <c r="B243" s="175"/>
      <c r="C243" s="175"/>
      <c r="D243" s="175"/>
      <c r="E243" s="175"/>
      <c r="F243" s="175"/>
      <c r="G243" s="175"/>
      <c r="H243" s="175"/>
      <c r="I243" s="175"/>
      <c r="J243" s="175"/>
      <c r="K243" s="175"/>
      <c r="L243" s="175"/>
      <c r="M243" s="65"/>
      <c r="N243" s="65"/>
      <c r="O243" s="65"/>
      <c r="P243" s="65"/>
      <c r="Q243" s="65"/>
      <c r="R243" s="65"/>
      <c r="S243" s="65"/>
      <c r="T243" s="65"/>
      <c r="U243" s="65"/>
      <c r="V243" s="65"/>
      <c r="W243" s="65"/>
      <c r="X243" s="65"/>
      <c r="Y243" s="65"/>
      <c r="Z243" s="175"/>
      <c r="AA243" s="175"/>
      <c r="AB243" s="175"/>
      <c r="AC243" s="175"/>
      <c r="AD243" s="175"/>
      <c r="AE243" s="175"/>
      <c r="AF243" s="175"/>
      <c r="AG243" s="175"/>
      <c r="AH243" s="175"/>
      <c r="AI243" s="175"/>
      <c r="AJ243" s="175"/>
      <c r="AK243" s="65"/>
    </row>
    <row r="244" spans="1:37" ht="15">
      <c r="A244" s="64"/>
      <c r="B244" s="175"/>
      <c r="C244" s="175"/>
      <c r="D244" s="175"/>
      <c r="E244" s="175"/>
      <c r="F244" s="175"/>
      <c r="G244" s="175"/>
      <c r="H244" s="175"/>
      <c r="I244" s="175"/>
      <c r="J244" s="175"/>
      <c r="K244" s="175"/>
      <c r="L244" s="175"/>
      <c r="M244" s="65"/>
      <c r="N244" s="65"/>
      <c r="O244" s="65"/>
      <c r="P244" s="65"/>
      <c r="Q244" s="65"/>
      <c r="R244" s="65"/>
      <c r="S244" s="65"/>
      <c r="T244" s="65"/>
      <c r="U244" s="65"/>
      <c r="V244" s="65"/>
      <c r="W244" s="65"/>
      <c r="X244" s="65"/>
      <c r="Y244" s="65"/>
      <c r="Z244" s="175"/>
      <c r="AA244" s="175"/>
      <c r="AB244" s="175"/>
      <c r="AC244" s="175"/>
      <c r="AD244" s="175"/>
      <c r="AE244" s="175"/>
      <c r="AF244" s="175"/>
      <c r="AG244" s="175"/>
      <c r="AH244" s="175"/>
      <c r="AI244" s="175"/>
      <c r="AJ244" s="175"/>
      <c r="AK244" s="65"/>
    </row>
    <row r="245" spans="1:37" ht="15">
      <c r="A245" s="64"/>
      <c r="B245" s="175"/>
      <c r="C245" s="175"/>
      <c r="D245" s="175"/>
      <c r="E245" s="175"/>
      <c r="F245" s="175"/>
      <c r="G245" s="175"/>
      <c r="H245" s="175"/>
      <c r="I245" s="175"/>
      <c r="J245" s="175"/>
      <c r="K245" s="175"/>
      <c r="L245" s="175"/>
      <c r="M245" s="65"/>
      <c r="N245" s="65"/>
      <c r="O245" s="65"/>
      <c r="P245" s="65"/>
      <c r="Q245" s="65"/>
      <c r="R245" s="65"/>
      <c r="S245" s="65"/>
      <c r="T245" s="65"/>
      <c r="U245" s="65"/>
      <c r="V245" s="65"/>
      <c r="W245" s="65"/>
      <c r="X245" s="65"/>
      <c r="Y245" s="65"/>
      <c r="Z245" s="175"/>
      <c r="AA245" s="175"/>
      <c r="AB245" s="175"/>
      <c r="AC245" s="175"/>
      <c r="AD245" s="175"/>
      <c r="AE245" s="175"/>
      <c r="AF245" s="175"/>
      <c r="AG245" s="175"/>
      <c r="AH245" s="175"/>
      <c r="AI245" s="175"/>
      <c r="AJ245" s="175"/>
      <c r="AK245" s="65"/>
    </row>
    <row r="246" spans="1:37" ht="15">
      <c r="A246" s="64"/>
      <c r="B246" s="175"/>
      <c r="C246" s="175"/>
      <c r="D246" s="175"/>
      <c r="E246" s="175"/>
      <c r="F246" s="175"/>
      <c r="G246" s="175"/>
      <c r="H246" s="175"/>
      <c r="I246" s="175"/>
      <c r="J246" s="175"/>
      <c r="K246" s="175"/>
      <c r="L246" s="175"/>
      <c r="M246" s="65"/>
      <c r="N246" s="65"/>
      <c r="O246" s="65"/>
      <c r="P246" s="65"/>
      <c r="Q246" s="65"/>
      <c r="R246" s="65"/>
      <c r="S246" s="65"/>
      <c r="T246" s="65"/>
      <c r="U246" s="65"/>
      <c r="V246" s="65"/>
      <c r="W246" s="65"/>
      <c r="X246" s="65"/>
      <c r="Y246" s="65"/>
      <c r="Z246" s="175"/>
      <c r="AA246" s="175"/>
      <c r="AB246" s="175"/>
      <c r="AC246" s="175"/>
      <c r="AD246" s="175"/>
      <c r="AE246" s="175"/>
      <c r="AF246" s="175"/>
      <c r="AG246" s="175"/>
      <c r="AH246" s="175"/>
      <c r="AI246" s="175"/>
      <c r="AJ246" s="175"/>
      <c r="AK246" s="65"/>
    </row>
    <row r="247" spans="1:37" ht="15">
      <c r="A247" s="64"/>
      <c r="B247" s="175"/>
      <c r="C247" s="175"/>
      <c r="D247" s="175"/>
      <c r="E247" s="175"/>
      <c r="F247" s="175"/>
      <c r="G247" s="175"/>
      <c r="H247" s="175"/>
      <c r="I247" s="175"/>
      <c r="J247" s="175"/>
      <c r="K247" s="175"/>
      <c r="L247" s="175"/>
      <c r="M247" s="65"/>
      <c r="N247" s="65"/>
      <c r="O247" s="65"/>
      <c r="P247" s="65"/>
      <c r="Q247" s="65"/>
      <c r="R247" s="65"/>
      <c r="S247" s="65"/>
      <c r="T247" s="65"/>
      <c r="U247" s="65"/>
      <c r="V247" s="65"/>
      <c r="W247" s="65"/>
      <c r="X247" s="65"/>
      <c r="Y247" s="65"/>
      <c r="Z247" s="175"/>
      <c r="AA247" s="175"/>
      <c r="AB247" s="175"/>
      <c r="AC247" s="175"/>
      <c r="AD247" s="175"/>
      <c r="AE247" s="175"/>
      <c r="AF247" s="175"/>
      <c r="AG247" s="175"/>
      <c r="AH247" s="175"/>
      <c r="AI247" s="175"/>
      <c r="AJ247" s="175"/>
      <c r="AK247" s="65"/>
    </row>
    <row r="248" spans="1:37" ht="15">
      <c r="A248" s="64"/>
      <c r="B248" s="175"/>
      <c r="C248" s="175"/>
      <c r="D248" s="175"/>
      <c r="E248" s="175"/>
      <c r="F248" s="175"/>
      <c r="G248" s="175"/>
      <c r="H248" s="175"/>
      <c r="I248" s="175"/>
      <c r="J248" s="175"/>
      <c r="K248" s="175"/>
      <c r="L248" s="175"/>
      <c r="M248" s="65"/>
      <c r="N248" s="65"/>
      <c r="O248" s="65"/>
      <c r="P248" s="65"/>
      <c r="Q248" s="65"/>
      <c r="R248" s="65"/>
      <c r="S248" s="65"/>
      <c r="T248" s="65"/>
      <c r="U248" s="65"/>
      <c r="V248" s="65"/>
      <c r="W248" s="65"/>
      <c r="X248" s="65"/>
      <c r="Y248" s="65"/>
      <c r="Z248" s="175"/>
      <c r="AA248" s="175"/>
      <c r="AB248" s="175"/>
      <c r="AC248" s="175"/>
      <c r="AD248" s="175"/>
      <c r="AE248" s="175"/>
      <c r="AF248" s="175"/>
      <c r="AG248" s="175"/>
      <c r="AH248" s="175"/>
      <c r="AI248" s="175"/>
      <c r="AJ248" s="175"/>
      <c r="AK248" s="65"/>
    </row>
    <row r="249" spans="1:37" ht="15">
      <c r="A249" s="64"/>
      <c r="B249" s="175"/>
      <c r="C249" s="175"/>
      <c r="D249" s="175"/>
      <c r="E249" s="175"/>
      <c r="F249" s="175"/>
      <c r="G249" s="175"/>
      <c r="H249" s="175"/>
      <c r="I249" s="175"/>
      <c r="J249" s="175"/>
      <c r="K249" s="175"/>
      <c r="L249" s="175"/>
      <c r="M249" s="65"/>
      <c r="N249" s="65"/>
      <c r="O249" s="65"/>
      <c r="P249" s="65"/>
      <c r="Q249" s="65"/>
      <c r="R249" s="65"/>
      <c r="S249" s="65"/>
      <c r="T249" s="65"/>
      <c r="U249" s="65"/>
      <c r="V249" s="65"/>
      <c r="W249" s="65"/>
      <c r="X249" s="65"/>
      <c r="Y249" s="65"/>
      <c r="Z249" s="175"/>
      <c r="AA249" s="175"/>
      <c r="AB249" s="175"/>
      <c r="AC249" s="175"/>
      <c r="AD249" s="175"/>
      <c r="AE249" s="175"/>
      <c r="AF249" s="175"/>
      <c r="AG249" s="175"/>
      <c r="AH249" s="175"/>
      <c r="AI249" s="175"/>
      <c r="AJ249" s="175"/>
      <c r="AK249" s="65"/>
    </row>
    <row r="250" spans="1:37" ht="15">
      <c r="A250" s="64"/>
      <c r="B250" s="175"/>
      <c r="C250" s="175"/>
      <c r="D250" s="175"/>
      <c r="E250" s="175"/>
      <c r="F250" s="175"/>
      <c r="G250" s="175"/>
      <c r="H250" s="175"/>
      <c r="I250" s="175"/>
      <c r="J250" s="175"/>
      <c r="K250" s="175"/>
      <c r="L250" s="175"/>
      <c r="M250" s="65"/>
      <c r="N250" s="65"/>
      <c r="O250" s="65"/>
      <c r="P250" s="65"/>
      <c r="Q250" s="65"/>
      <c r="R250" s="65"/>
      <c r="S250" s="65"/>
      <c r="T250" s="65"/>
      <c r="U250" s="65"/>
      <c r="V250" s="65"/>
      <c r="W250" s="65"/>
      <c r="X250" s="65"/>
      <c r="Y250" s="65"/>
      <c r="Z250" s="175"/>
      <c r="AA250" s="175"/>
      <c r="AB250" s="175"/>
      <c r="AC250" s="175"/>
      <c r="AD250" s="175"/>
      <c r="AE250" s="175"/>
      <c r="AF250" s="175"/>
      <c r="AG250" s="175"/>
      <c r="AH250" s="175"/>
      <c r="AI250" s="175"/>
      <c r="AJ250" s="175"/>
      <c r="AK250" s="65"/>
    </row>
    <row r="251" spans="1:37" ht="15">
      <c r="A251" s="64"/>
      <c r="B251" s="175"/>
      <c r="C251" s="175"/>
      <c r="D251" s="175"/>
      <c r="E251" s="175"/>
      <c r="F251" s="175"/>
      <c r="G251" s="175"/>
      <c r="H251" s="175"/>
      <c r="I251" s="175"/>
      <c r="J251" s="175"/>
      <c r="K251" s="175"/>
      <c r="L251" s="175"/>
      <c r="M251" s="65"/>
      <c r="N251" s="65"/>
      <c r="O251" s="65"/>
      <c r="P251" s="65"/>
      <c r="Q251" s="65"/>
      <c r="R251" s="65"/>
      <c r="S251" s="65"/>
      <c r="T251" s="65"/>
      <c r="U251" s="65"/>
      <c r="V251" s="65"/>
      <c r="W251" s="65"/>
      <c r="X251" s="65"/>
      <c r="Y251" s="65"/>
      <c r="Z251" s="175"/>
      <c r="AA251" s="175"/>
      <c r="AB251" s="175"/>
      <c r="AC251" s="175"/>
      <c r="AD251" s="175"/>
      <c r="AE251" s="175"/>
      <c r="AF251" s="175"/>
      <c r="AG251" s="175"/>
      <c r="AH251" s="175"/>
      <c r="AI251" s="175"/>
      <c r="AJ251" s="175"/>
      <c r="AK251" s="65"/>
    </row>
    <row r="252" spans="1:37" ht="15">
      <c r="A252" s="64"/>
      <c r="B252" s="175"/>
      <c r="C252" s="175"/>
      <c r="D252" s="175"/>
      <c r="E252" s="175"/>
      <c r="F252" s="175"/>
      <c r="G252" s="175"/>
      <c r="H252" s="175"/>
      <c r="I252" s="175"/>
      <c r="J252" s="175"/>
      <c r="K252" s="175"/>
      <c r="L252" s="175"/>
      <c r="M252" s="65"/>
      <c r="N252" s="65"/>
      <c r="O252" s="65"/>
      <c r="P252" s="65"/>
      <c r="Q252" s="65"/>
      <c r="R252" s="65"/>
      <c r="S252" s="65"/>
      <c r="T252" s="65"/>
      <c r="U252" s="65"/>
      <c r="V252" s="65"/>
      <c r="W252" s="65"/>
      <c r="X252" s="65"/>
      <c r="Y252" s="65"/>
      <c r="Z252" s="175"/>
      <c r="AA252" s="175"/>
      <c r="AB252" s="175"/>
      <c r="AC252" s="175"/>
      <c r="AD252" s="175"/>
      <c r="AE252" s="175"/>
      <c r="AF252" s="175"/>
      <c r="AG252" s="175"/>
      <c r="AH252" s="175"/>
      <c r="AI252" s="175"/>
      <c r="AJ252" s="175"/>
      <c r="AK252" s="65"/>
    </row>
    <row r="253" spans="1:37" ht="15.75">
      <c r="A253" s="195"/>
      <c r="B253" s="175"/>
      <c r="C253" s="175"/>
      <c r="D253" s="175"/>
      <c r="E253" s="175"/>
      <c r="F253" s="175"/>
      <c r="G253" s="175"/>
      <c r="H253" s="175"/>
      <c r="I253" s="175"/>
      <c r="J253" s="175"/>
      <c r="K253" s="175"/>
      <c r="L253" s="175"/>
      <c r="M253" s="65"/>
      <c r="N253" s="65"/>
      <c r="O253" s="65"/>
      <c r="P253" s="65"/>
      <c r="Q253" s="65"/>
      <c r="R253" s="65"/>
      <c r="S253" s="65"/>
      <c r="T253" s="65"/>
      <c r="U253" s="65"/>
      <c r="V253" s="65"/>
      <c r="W253" s="65"/>
      <c r="X253" s="65"/>
      <c r="Y253" s="65"/>
      <c r="Z253" s="175"/>
      <c r="AA253" s="175"/>
      <c r="AB253" s="175"/>
      <c r="AC253" s="175"/>
      <c r="AD253" s="175"/>
      <c r="AE253" s="175"/>
      <c r="AF253" s="175"/>
      <c r="AG253" s="175"/>
      <c r="AH253" s="175"/>
      <c r="AI253" s="175"/>
      <c r="AJ253" s="175"/>
      <c r="AK253" s="65"/>
    </row>
    <row r="254" spans="1:37" ht="15">
      <c r="A254" s="12"/>
      <c r="B254" s="175"/>
      <c r="C254" s="175"/>
      <c r="D254" s="175"/>
      <c r="E254" s="175"/>
      <c r="F254" s="175"/>
      <c r="G254" s="175"/>
      <c r="H254" s="175"/>
      <c r="I254" s="175"/>
      <c r="J254" s="175"/>
      <c r="K254" s="175"/>
      <c r="L254" s="175"/>
      <c r="M254" s="65"/>
      <c r="N254" s="65"/>
      <c r="O254" s="65"/>
      <c r="P254" s="65"/>
      <c r="Q254" s="65"/>
      <c r="R254" s="65"/>
      <c r="S254" s="65"/>
      <c r="T254" s="65"/>
      <c r="U254" s="65"/>
      <c r="V254" s="65"/>
      <c r="W254" s="65"/>
      <c r="X254" s="65"/>
      <c r="Y254" s="65"/>
      <c r="Z254" s="175"/>
      <c r="AA254" s="175"/>
      <c r="AB254" s="175"/>
      <c r="AC254" s="175"/>
      <c r="AD254" s="175"/>
      <c r="AE254" s="175"/>
      <c r="AF254" s="175"/>
      <c r="AG254" s="175"/>
      <c r="AH254" s="175"/>
      <c r="AI254" s="175"/>
      <c r="AJ254" s="175"/>
      <c r="AK254" s="65"/>
    </row>
    <row r="255" spans="1:37" ht="15">
      <c r="A255" s="64"/>
      <c r="B255" s="175"/>
      <c r="C255" s="175"/>
      <c r="D255" s="175"/>
      <c r="E255" s="175"/>
      <c r="F255" s="175"/>
      <c r="G255" s="175"/>
      <c r="H255" s="175"/>
      <c r="I255" s="175"/>
      <c r="J255" s="175"/>
      <c r="K255" s="175"/>
      <c r="L255" s="175"/>
      <c r="M255" s="65"/>
      <c r="N255" s="65"/>
      <c r="O255" s="65"/>
      <c r="P255" s="65"/>
      <c r="Q255" s="65"/>
      <c r="R255" s="65"/>
      <c r="S255" s="65"/>
      <c r="T255" s="65"/>
      <c r="U255" s="65"/>
      <c r="V255" s="65"/>
      <c r="W255" s="65"/>
      <c r="X255" s="65"/>
      <c r="Y255" s="65"/>
      <c r="Z255" s="175"/>
      <c r="AA255" s="175"/>
      <c r="AB255" s="175"/>
      <c r="AC255" s="175"/>
      <c r="AD255" s="175"/>
      <c r="AE255" s="175"/>
      <c r="AF255" s="175"/>
      <c r="AG255" s="175"/>
      <c r="AH255" s="175"/>
      <c r="AI255" s="175"/>
      <c r="AJ255" s="175"/>
      <c r="AK255" s="65"/>
    </row>
    <row r="256" spans="1:37" ht="15">
      <c r="A256" s="64"/>
      <c r="B256" s="175"/>
      <c r="C256" s="175"/>
      <c r="D256" s="175"/>
      <c r="E256" s="175"/>
      <c r="F256" s="175"/>
      <c r="G256" s="175"/>
      <c r="H256" s="175"/>
      <c r="I256" s="175"/>
      <c r="J256" s="175"/>
      <c r="K256" s="175"/>
      <c r="L256" s="175"/>
      <c r="M256" s="65"/>
      <c r="N256" s="65"/>
      <c r="O256" s="65"/>
      <c r="P256" s="65"/>
      <c r="Q256" s="65"/>
      <c r="R256" s="65"/>
      <c r="S256" s="65"/>
      <c r="T256" s="65"/>
      <c r="U256" s="65"/>
      <c r="V256" s="65"/>
      <c r="W256" s="65"/>
      <c r="X256" s="65"/>
      <c r="Y256" s="65"/>
      <c r="Z256" s="175"/>
      <c r="AA256" s="175"/>
      <c r="AB256" s="175"/>
      <c r="AC256" s="175"/>
      <c r="AD256" s="175"/>
      <c r="AE256" s="175"/>
      <c r="AF256" s="175"/>
      <c r="AG256" s="175"/>
      <c r="AH256" s="175"/>
      <c r="AI256" s="175"/>
      <c r="AJ256" s="175"/>
      <c r="AK256" s="65"/>
    </row>
    <row r="257" spans="1:37" ht="15">
      <c r="A257" s="64"/>
      <c r="B257" s="175"/>
      <c r="C257" s="175"/>
      <c r="D257" s="175"/>
      <c r="E257" s="175"/>
      <c r="F257" s="175"/>
      <c r="G257" s="175"/>
      <c r="H257" s="175"/>
      <c r="I257" s="175"/>
      <c r="J257" s="175"/>
      <c r="K257" s="175"/>
      <c r="L257" s="175"/>
      <c r="M257" s="65"/>
      <c r="N257" s="65"/>
      <c r="O257" s="65"/>
      <c r="P257" s="65"/>
      <c r="Q257" s="65"/>
      <c r="R257" s="65"/>
      <c r="S257" s="65"/>
      <c r="T257" s="65"/>
      <c r="U257" s="65"/>
      <c r="V257" s="65"/>
      <c r="W257" s="65"/>
      <c r="X257" s="65"/>
      <c r="Y257" s="65"/>
      <c r="Z257" s="175"/>
      <c r="AA257" s="175"/>
      <c r="AB257" s="175"/>
      <c r="AC257" s="175"/>
      <c r="AD257" s="175"/>
      <c r="AE257" s="175"/>
      <c r="AF257" s="175"/>
      <c r="AG257" s="175"/>
      <c r="AH257" s="175"/>
      <c r="AI257" s="175"/>
      <c r="AJ257" s="175"/>
      <c r="AK257" s="65"/>
    </row>
    <row r="258" spans="1:37" ht="15">
      <c r="A258" s="64"/>
      <c r="B258" s="175"/>
      <c r="C258" s="175"/>
      <c r="D258" s="175"/>
      <c r="E258" s="175"/>
      <c r="F258" s="175"/>
      <c r="G258" s="175"/>
      <c r="H258" s="175"/>
      <c r="I258" s="175"/>
      <c r="J258" s="175"/>
      <c r="K258" s="175"/>
      <c r="L258" s="175"/>
      <c r="M258" s="65"/>
      <c r="N258" s="65"/>
      <c r="O258" s="65"/>
      <c r="P258" s="65"/>
      <c r="Q258" s="65"/>
      <c r="R258" s="65"/>
      <c r="S258" s="65"/>
      <c r="T258" s="65"/>
      <c r="U258" s="65"/>
      <c r="V258" s="65"/>
      <c r="W258" s="65"/>
      <c r="X258" s="65"/>
      <c r="Y258" s="65"/>
      <c r="Z258" s="175"/>
      <c r="AA258" s="175"/>
      <c r="AB258" s="175"/>
      <c r="AC258" s="175"/>
      <c r="AD258" s="175"/>
      <c r="AE258" s="175"/>
      <c r="AF258" s="175"/>
      <c r="AG258" s="175"/>
      <c r="AH258" s="175"/>
      <c r="AI258" s="175"/>
      <c r="AJ258" s="175"/>
      <c r="AK258" s="65"/>
    </row>
    <row r="259" spans="1:37" ht="15">
      <c r="A259" s="64"/>
      <c r="B259" s="175"/>
      <c r="C259" s="175"/>
      <c r="D259" s="175"/>
      <c r="E259" s="175"/>
      <c r="F259" s="175"/>
      <c r="G259" s="175"/>
      <c r="H259" s="175"/>
      <c r="I259" s="175"/>
      <c r="J259" s="175"/>
      <c r="K259" s="175"/>
      <c r="L259" s="175"/>
      <c r="M259" s="65"/>
      <c r="N259" s="65"/>
      <c r="O259" s="65"/>
      <c r="P259" s="65"/>
      <c r="Q259" s="65"/>
      <c r="R259" s="65"/>
      <c r="S259" s="65"/>
      <c r="T259" s="65"/>
      <c r="U259" s="65"/>
      <c r="V259" s="65"/>
      <c r="W259" s="65"/>
      <c r="X259" s="65"/>
      <c r="Y259" s="65"/>
      <c r="Z259" s="175"/>
      <c r="AA259" s="175"/>
      <c r="AB259" s="175"/>
      <c r="AC259" s="175"/>
      <c r="AD259" s="175"/>
      <c r="AE259" s="175"/>
      <c r="AF259" s="175"/>
      <c r="AG259" s="175"/>
      <c r="AH259" s="175"/>
      <c r="AI259" s="175"/>
      <c r="AJ259" s="175"/>
      <c r="AK259" s="65"/>
    </row>
    <row r="260" spans="1:37" ht="15">
      <c r="A260" s="64"/>
      <c r="B260" s="175"/>
      <c r="C260" s="175"/>
      <c r="D260" s="175"/>
      <c r="E260" s="175"/>
      <c r="F260" s="175"/>
      <c r="G260" s="175"/>
      <c r="H260" s="175"/>
      <c r="I260" s="175"/>
      <c r="J260" s="175"/>
      <c r="K260" s="175"/>
      <c r="L260" s="175"/>
      <c r="M260" s="65"/>
      <c r="N260" s="65"/>
      <c r="O260" s="65"/>
      <c r="P260" s="65"/>
      <c r="Q260" s="65"/>
      <c r="R260" s="65"/>
      <c r="S260" s="65"/>
      <c r="T260" s="65"/>
      <c r="U260" s="65"/>
      <c r="V260" s="65"/>
      <c r="W260" s="65"/>
      <c r="X260" s="65"/>
      <c r="Y260" s="65"/>
      <c r="Z260" s="175"/>
      <c r="AA260" s="175"/>
      <c r="AB260" s="175"/>
      <c r="AC260" s="175"/>
      <c r="AD260" s="175"/>
      <c r="AE260" s="175"/>
      <c r="AF260" s="175"/>
      <c r="AG260" s="175"/>
      <c r="AH260" s="175"/>
      <c r="AI260" s="175"/>
      <c r="AJ260" s="175"/>
      <c r="AK260" s="65"/>
    </row>
    <row r="261" spans="1:37" ht="15">
      <c r="A261" s="64"/>
      <c r="B261" s="175"/>
      <c r="C261" s="175"/>
      <c r="D261" s="175"/>
      <c r="E261" s="175"/>
      <c r="F261" s="175"/>
      <c r="G261" s="175"/>
      <c r="H261" s="175"/>
      <c r="I261" s="175"/>
      <c r="J261" s="175"/>
      <c r="K261" s="175"/>
      <c r="L261" s="175"/>
      <c r="M261" s="65"/>
      <c r="N261" s="65"/>
      <c r="O261" s="65"/>
      <c r="P261" s="65"/>
      <c r="Q261" s="65"/>
      <c r="R261" s="65"/>
      <c r="S261" s="65"/>
      <c r="T261" s="65"/>
      <c r="U261" s="65"/>
      <c r="V261" s="65"/>
      <c r="W261" s="65"/>
      <c r="X261" s="65"/>
      <c r="Y261" s="65"/>
      <c r="Z261" s="175"/>
      <c r="AA261" s="175"/>
      <c r="AB261" s="175"/>
      <c r="AC261" s="175"/>
      <c r="AD261" s="175"/>
      <c r="AE261" s="175"/>
      <c r="AF261" s="175"/>
      <c r="AG261" s="175"/>
      <c r="AH261" s="175"/>
      <c r="AI261" s="175"/>
      <c r="AJ261" s="175"/>
      <c r="AK261" s="65"/>
    </row>
    <row r="262" spans="1:37" ht="15">
      <c r="A262" s="64"/>
      <c r="B262" s="175"/>
      <c r="C262" s="175"/>
      <c r="D262" s="175"/>
      <c r="E262" s="175"/>
      <c r="F262" s="175"/>
      <c r="G262" s="175"/>
      <c r="H262" s="175"/>
      <c r="I262" s="175"/>
      <c r="J262" s="175"/>
      <c r="K262" s="175"/>
      <c r="L262" s="175"/>
      <c r="M262" s="65"/>
      <c r="N262" s="65"/>
      <c r="O262" s="65"/>
      <c r="P262" s="65"/>
      <c r="Q262" s="65"/>
      <c r="R262" s="65"/>
      <c r="S262" s="65"/>
      <c r="T262" s="65"/>
      <c r="U262" s="65"/>
      <c r="V262" s="65"/>
      <c r="W262" s="65"/>
      <c r="X262" s="65"/>
      <c r="Y262" s="65"/>
      <c r="Z262" s="175"/>
      <c r="AA262" s="175"/>
      <c r="AB262" s="175"/>
      <c r="AC262" s="175"/>
      <c r="AD262" s="175"/>
      <c r="AE262" s="175"/>
      <c r="AF262" s="175"/>
      <c r="AG262" s="175"/>
      <c r="AH262" s="175"/>
      <c r="AI262" s="175"/>
      <c r="AJ262" s="175"/>
      <c r="AK262" s="65"/>
    </row>
    <row r="263" spans="1:37" ht="15">
      <c r="A263" s="64"/>
      <c r="B263" s="175"/>
      <c r="C263" s="175"/>
      <c r="D263" s="175"/>
      <c r="E263" s="175"/>
      <c r="F263" s="175"/>
      <c r="G263" s="175"/>
      <c r="H263" s="175"/>
      <c r="I263" s="175"/>
      <c r="J263" s="175"/>
      <c r="K263" s="175"/>
      <c r="L263" s="175"/>
      <c r="M263" s="65"/>
      <c r="N263" s="65"/>
      <c r="O263" s="65"/>
      <c r="P263" s="65"/>
      <c r="Q263" s="65"/>
      <c r="R263" s="65"/>
      <c r="S263" s="65"/>
      <c r="T263" s="65"/>
      <c r="U263" s="65"/>
      <c r="V263" s="65"/>
      <c r="W263" s="65"/>
      <c r="X263" s="65"/>
      <c r="Y263" s="65"/>
      <c r="Z263" s="175"/>
      <c r="AA263" s="175"/>
      <c r="AB263" s="175"/>
      <c r="AC263" s="175"/>
      <c r="AD263" s="175"/>
      <c r="AE263" s="175"/>
      <c r="AF263" s="175"/>
      <c r="AG263" s="175"/>
      <c r="AH263" s="175"/>
      <c r="AI263" s="175"/>
      <c r="AJ263" s="175"/>
      <c r="AK263" s="65"/>
    </row>
    <row r="264" spans="1:37" ht="15">
      <c r="A264" s="64"/>
      <c r="B264" s="175"/>
      <c r="C264" s="175"/>
      <c r="D264" s="175"/>
      <c r="E264" s="175"/>
      <c r="F264" s="175"/>
      <c r="G264" s="175"/>
      <c r="H264" s="175"/>
      <c r="I264" s="175"/>
      <c r="J264" s="175"/>
      <c r="K264" s="175"/>
      <c r="L264" s="175"/>
      <c r="M264" s="65"/>
      <c r="N264" s="65"/>
      <c r="O264" s="65"/>
      <c r="P264" s="65"/>
      <c r="Q264" s="65"/>
      <c r="R264" s="65"/>
      <c r="S264" s="65"/>
      <c r="T264" s="65"/>
      <c r="U264" s="65"/>
      <c r="V264" s="65"/>
      <c r="W264" s="65"/>
      <c r="X264" s="65"/>
      <c r="Y264" s="65"/>
      <c r="Z264" s="175"/>
      <c r="AA264" s="175"/>
      <c r="AB264" s="175"/>
      <c r="AC264" s="175"/>
      <c r="AD264" s="175"/>
      <c r="AE264" s="175"/>
      <c r="AF264" s="175"/>
      <c r="AG264" s="175"/>
      <c r="AH264" s="175"/>
      <c r="AI264" s="175"/>
      <c r="AJ264" s="175"/>
      <c r="AK264" s="65"/>
    </row>
    <row r="265" spans="1:37" ht="15">
      <c r="A265" s="64"/>
      <c r="B265" s="175"/>
      <c r="C265" s="175"/>
      <c r="D265" s="175"/>
      <c r="E265" s="175"/>
      <c r="F265" s="175"/>
      <c r="G265" s="175"/>
      <c r="H265" s="175"/>
      <c r="I265" s="175"/>
      <c r="J265" s="175"/>
      <c r="K265" s="175"/>
      <c r="L265" s="175"/>
      <c r="M265" s="65"/>
      <c r="N265" s="65"/>
      <c r="O265" s="65"/>
      <c r="P265" s="65"/>
      <c r="Q265" s="65"/>
      <c r="R265" s="65"/>
      <c r="S265" s="65"/>
      <c r="T265" s="65"/>
      <c r="U265" s="65"/>
      <c r="V265" s="65"/>
      <c r="W265" s="65"/>
      <c r="X265" s="65"/>
      <c r="Y265" s="65"/>
      <c r="Z265" s="175"/>
      <c r="AA265" s="175"/>
      <c r="AB265" s="175"/>
      <c r="AC265" s="175"/>
      <c r="AD265" s="175"/>
      <c r="AE265" s="175"/>
      <c r="AF265" s="175"/>
      <c r="AG265" s="175"/>
      <c r="AH265" s="175"/>
      <c r="AI265" s="175"/>
      <c r="AJ265" s="175"/>
      <c r="AK265" s="65"/>
    </row>
    <row r="266" spans="1:37" ht="15">
      <c r="A266" s="64"/>
      <c r="B266" s="175"/>
      <c r="C266" s="175"/>
      <c r="D266" s="175"/>
      <c r="E266" s="175"/>
      <c r="F266" s="175"/>
      <c r="G266" s="175"/>
      <c r="H266" s="175"/>
      <c r="I266" s="175"/>
      <c r="J266" s="175"/>
      <c r="K266" s="175"/>
      <c r="L266" s="175"/>
      <c r="M266" s="65"/>
      <c r="N266" s="65"/>
      <c r="O266" s="65"/>
      <c r="P266" s="65"/>
      <c r="Q266" s="65"/>
      <c r="R266" s="65"/>
      <c r="S266" s="65"/>
      <c r="T266" s="65"/>
      <c r="U266" s="65"/>
      <c r="V266" s="65"/>
      <c r="W266" s="65"/>
      <c r="X266" s="65"/>
      <c r="Y266" s="65"/>
      <c r="Z266" s="175"/>
      <c r="AA266" s="175"/>
      <c r="AB266" s="175"/>
      <c r="AC266" s="175"/>
      <c r="AD266" s="175"/>
      <c r="AE266" s="175"/>
      <c r="AF266" s="175"/>
      <c r="AG266" s="175"/>
      <c r="AH266" s="175"/>
      <c r="AI266" s="175"/>
      <c r="AJ266" s="175"/>
      <c r="AK266" s="65"/>
    </row>
    <row r="267" spans="1:37" ht="15">
      <c r="A267" s="64"/>
      <c r="B267" s="175"/>
      <c r="C267" s="175"/>
      <c r="D267" s="175"/>
      <c r="E267" s="175"/>
      <c r="F267" s="175"/>
      <c r="G267" s="175"/>
      <c r="H267" s="175"/>
      <c r="I267" s="175"/>
      <c r="J267" s="175"/>
      <c r="K267" s="175"/>
      <c r="L267" s="175"/>
      <c r="M267" s="65"/>
      <c r="N267" s="65"/>
      <c r="O267" s="65"/>
      <c r="P267" s="65"/>
      <c r="Q267" s="65"/>
      <c r="R267" s="65"/>
      <c r="S267" s="65"/>
      <c r="T267" s="65"/>
      <c r="U267" s="65"/>
      <c r="V267" s="65"/>
      <c r="W267" s="65"/>
      <c r="X267" s="65"/>
      <c r="Y267" s="65"/>
      <c r="Z267" s="175"/>
      <c r="AA267" s="175"/>
      <c r="AB267" s="175"/>
      <c r="AC267" s="175"/>
      <c r="AD267" s="175"/>
      <c r="AE267" s="175"/>
      <c r="AF267" s="175"/>
      <c r="AG267" s="175"/>
      <c r="AH267" s="175"/>
      <c r="AI267" s="175"/>
      <c r="AJ267" s="175"/>
      <c r="AK267" s="65"/>
    </row>
    <row r="268" spans="1:37" ht="15">
      <c r="A268" s="12"/>
      <c r="B268" s="175"/>
      <c r="C268" s="175"/>
      <c r="D268" s="175"/>
      <c r="E268" s="175"/>
      <c r="F268" s="175"/>
      <c r="G268" s="175"/>
      <c r="H268" s="175"/>
      <c r="I268" s="175"/>
      <c r="J268" s="175"/>
      <c r="K268" s="175"/>
      <c r="L268" s="175"/>
      <c r="M268" s="65"/>
      <c r="N268" s="65"/>
      <c r="O268" s="65"/>
      <c r="P268" s="65"/>
      <c r="Q268" s="65"/>
      <c r="R268" s="65"/>
      <c r="S268" s="65"/>
      <c r="T268" s="65"/>
      <c r="U268" s="65"/>
      <c r="V268" s="65"/>
      <c r="W268" s="65"/>
      <c r="X268" s="65"/>
      <c r="Y268" s="65"/>
      <c r="Z268" s="175"/>
      <c r="AA268" s="175"/>
      <c r="AB268" s="175"/>
      <c r="AC268" s="175"/>
      <c r="AD268" s="175"/>
      <c r="AE268" s="175"/>
      <c r="AF268" s="175"/>
      <c r="AG268" s="175"/>
      <c r="AH268" s="175"/>
      <c r="AI268" s="175"/>
      <c r="AJ268" s="175"/>
      <c r="AK268" s="65"/>
    </row>
    <row r="269" spans="1:37" ht="15">
      <c r="A269" s="196"/>
      <c r="B269" s="175"/>
      <c r="C269" s="175"/>
      <c r="D269" s="175"/>
      <c r="E269" s="175"/>
      <c r="F269" s="175"/>
      <c r="G269" s="175"/>
      <c r="H269" s="175"/>
      <c r="I269" s="175"/>
      <c r="J269" s="175"/>
      <c r="K269" s="175"/>
      <c r="L269" s="175"/>
      <c r="M269" s="65"/>
      <c r="N269" s="65"/>
      <c r="O269" s="65"/>
      <c r="P269" s="65"/>
      <c r="Q269" s="65"/>
      <c r="R269" s="65"/>
      <c r="S269" s="65"/>
      <c r="T269" s="65"/>
      <c r="U269" s="65"/>
      <c r="V269" s="65"/>
      <c r="W269" s="65"/>
      <c r="X269" s="65"/>
      <c r="Y269" s="65"/>
      <c r="Z269" s="175"/>
      <c r="AA269" s="175"/>
      <c r="AB269" s="175"/>
      <c r="AC269" s="175"/>
      <c r="AD269" s="175"/>
      <c r="AE269" s="175"/>
      <c r="AF269" s="175"/>
      <c r="AG269" s="175"/>
      <c r="AH269" s="175"/>
      <c r="AI269" s="175"/>
      <c r="AJ269" s="175"/>
      <c r="AK269" s="65"/>
    </row>
    <row r="270" spans="1:37" ht="15">
      <c r="A270" s="64"/>
      <c r="B270" s="175"/>
      <c r="C270" s="175"/>
      <c r="D270" s="175"/>
      <c r="E270" s="175"/>
      <c r="F270" s="175"/>
      <c r="G270" s="175"/>
      <c r="H270" s="175"/>
      <c r="I270" s="175"/>
      <c r="J270" s="175"/>
      <c r="K270" s="175"/>
      <c r="L270" s="175"/>
      <c r="M270" s="65"/>
      <c r="N270" s="65"/>
      <c r="O270" s="65"/>
      <c r="P270" s="65"/>
      <c r="Q270" s="65"/>
      <c r="R270" s="65"/>
      <c r="S270" s="65"/>
      <c r="T270" s="65"/>
      <c r="U270" s="65"/>
      <c r="V270" s="65"/>
      <c r="W270" s="65"/>
      <c r="X270" s="65"/>
      <c r="Y270" s="65"/>
      <c r="Z270" s="175"/>
      <c r="AA270" s="175"/>
      <c r="AB270" s="175"/>
      <c r="AC270" s="175"/>
      <c r="AD270" s="175"/>
      <c r="AE270" s="175"/>
      <c r="AF270" s="175"/>
      <c r="AG270" s="175"/>
      <c r="AH270" s="175"/>
      <c r="AI270" s="175"/>
      <c r="AJ270" s="175"/>
      <c r="AK270" s="65"/>
    </row>
    <row r="271" spans="1:37" ht="15">
      <c r="A271" s="64"/>
      <c r="B271" s="175"/>
      <c r="C271" s="175"/>
      <c r="D271" s="175"/>
      <c r="E271" s="175"/>
      <c r="F271" s="175"/>
      <c r="G271" s="175"/>
      <c r="H271" s="175"/>
      <c r="I271" s="175"/>
      <c r="J271" s="175"/>
      <c r="K271" s="175"/>
      <c r="L271" s="175"/>
      <c r="M271" s="65"/>
      <c r="N271" s="65"/>
      <c r="O271" s="65"/>
      <c r="P271" s="65"/>
      <c r="Q271" s="65"/>
      <c r="R271" s="65"/>
      <c r="S271" s="65"/>
      <c r="T271" s="65"/>
      <c r="U271" s="65"/>
      <c r="V271" s="65"/>
      <c r="W271" s="65"/>
      <c r="X271" s="65"/>
      <c r="Y271" s="65"/>
      <c r="Z271" s="175"/>
      <c r="AA271" s="175"/>
      <c r="AB271" s="175"/>
      <c r="AC271" s="175"/>
      <c r="AD271" s="175"/>
      <c r="AE271" s="175"/>
      <c r="AF271" s="175"/>
      <c r="AG271" s="175"/>
      <c r="AH271" s="175"/>
      <c r="AI271" s="175"/>
      <c r="AJ271" s="175"/>
      <c r="AK271" s="65"/>
    </row>
    <row r="272" spans="1:37" ht="15">
      <c r="A272" s="64"/>
      <c r="B272" s="175"/>
      <c r="C272" s="175"/>
      <c r="D272" s="175"/>
      <c r="E272" s="175"/>
      <c r="F272" s="175"/>
      <c r="G272" s="175"/>
      <c r="H272" s="175"/>
      <c r="I272" s="175"/>
      <c r="J272" s="175"/>
      <c r="K272" s="175"/>
      <c r="L272" s="175"/>
      <c r="M272" s="65"/>
      <c r="N272" s="65"/>
      <c r="O272" s="65"/>
      <c r="P272" s="65"/>
      <c r="Q272" s="65"/>
      <c r="R272" s="65"/>
      <c r="S272" s="65"/>
      <c r="T272" s="65"/>
      <c r="U272" s="65"/>
      <c r="V272" s="65"/>
      <c r="W272" s="65"/>
      <c r="X272" s="65"/>
      <c r="Y272" s="65"/>
      <c r="Z272" s="175"/>
      <c r="AA272" s="175"/>
      <c r="AB272" s="175"/>
      <c r="AC272" s="175"/>
      <c r="AD272" s="175"/>
      <c r="AE272" s="175"/>
      <c r="AF272" s="175"/>
      <c r="AG272" s="175"/>
      <c r="AH272" s="175"/>
      <c r="AI272" s="175"/>
      <c r="AJ272" s="175"/>
      <c r="AK272" s="65"/>
    </row>
    <row r="273" spans="1:37" ht="15">
      <c r="A273" s="64"/>
      <c r="B273" s="175"/>
      <c r="C273" s="175"/>
      <c r="D273" s="175"/>
      <c r="E273" s="175"/>
      <c r="F273" s="175"/>
      <c r="G273" s="175"/>
      <c r="H273" s="175"/>
      <c r="I273" s="175"/>
      <c r="J273" s="175"/>
      <c r="K273" s="175"/>
      <c r="L273" s="175"/>
      <c r="M273" s="65"/>
      <c r="N273" s="65"/>
      <c r="O273" s="65"/>
      <c r="P273" s="65"/>
      <c r="Q273" s="65"/>
      <c r="R273" s="65"/>
      <c r="S273" s="65"/>
      <c r="T273" s="65"/>
      <c r="U273" s="65"/>
      <c r="V273" s="65"/>
      <c r="W273" s="65"/>
      <c r="X273" s="65"/>
      <c r="Y273" s="65"/>
      <c r="Z273" s="175"/>
      <c r="AA273" s="175"/>
      <c r="AB273" s="175"/>
      <c r="AC273" s="175"/>
      <c r="AD273" s="175"/>
      <c r="AE273" s="175"/>
      <c r="AF273" s="175"/>
      <c r="AG273" s="175"/>
      <c r="AH273" s="175"/>
      <c r="AI273" s="175"/>
      <c r="AJ273" s="175"/>
      <c r="AK273" s="65"/>
    </row>
    <row r="274" spans="1:37" ht="15">
      <c r="A274" s="196"/>
      <c r="B274" s="175"/>
      <c r="C274" s="175"/>
      <c r="D274" s="175"/>
      <c r="E274" s="175"/>
      <c r="F274" s="175"/>
      <c r="G274" s="175"/>
      <c r="H274" s="175"/>
      <c r="I274" s="175"/>
      <c r="J274" s="175"/>
      <c r="K274" s="175"/>
      <c r="L274" s="175"/>
      <c r="M274" s="65"/>
      <c r="N274" s="65"/>
      <c r="O274" s="65"/>
      <c r="P274" s="65"/>
      <c r="Q274" s="65"/>
      <c r="R274" s="65"/>
      <c r="S274" s="65"/>
      <c r="T274" s="65"/>
      <c r="U274" s="65"/>
      <c r="V274" s="65"/>
      <c r="W274" s="65"/>
      <c r="X274" s="65"/>
      <c r="Y274" s="65"/>
      <c r="Z274" s="175"/>
      <c r="AA274" s="175"/>
      <c r="AB274" s="175"/>
      <c r="AC274" s="175"/>
      <c r="AD274" s="175"/>
      <c r="AE274" s="175"/>
      <c r="AF274" s="175"/>
      <c r="AG274" s="175"/>
      <c r="AH274" s="175"/>
      <c r="AI274" s="175"/>
      <c r="AJ274" s="175"/>
      <c r="AK274" s="65"/>
    </row>
    <row r="275" spans="1:37" ht="15">
      <c r="A275" s="64"/>
      <c r="B275" s="175"/>
      <c r="C275" s="175"/>
      <c r="D275" s="175"/>
      <c r="E275" s="175"/>
      <c r="F275" s="175"/>
      <c r="G275" s="175"/>
      <c r="H275" s="175"/>
      <c r="I275" s="175"/>
      <c r="J275" s="175"/>
      <c r="K275" s="175"/>
      <c r="L275" s="175"/>
      <c r="M275" s="65"/>
      <c r="N275" s="65"/>
      <c r="O275" s="65"/>
      <c r="P275" s="65"/>
      <c r="Q275" s="65"/>
      <c r="R275" s="65"/>
      <c r="S275" s="65"/>
      <c r="T275" s="65"/>
      <c r="U275" s="65"/>
      <c r="V275" s="65"/>
      <c r="W275" s="65"/>
      <c r="X275" s="65"/>
      <c r="Y275" s="65"/>
      <c r="Z275" s="175"/>
      <c r="AA275" s="175"/>
      <c r="AB275" s="175"/>
      <c r="AC275" s="175"/>
      <c r="AD275" s="175"/>
      <c r="AE275" s="175"/>
      <c r="AF275" s="175"/>
      <c r="AG275" s="175"/>
      <c r="AH275" s="175"/>
      <c r="AI275" s="175"/>
      <c r="AJ275" s="175"/>
      <c r="AK275" s="65"/>
    </row>
    <row r="276" spans="1:37" ht="15">
      <c r="A276" s="64"/>
      <c r="B276" s="175"/>
      <c r="C276" s="175"/>
      <c r="D276" s="175"/>
      <c r="E276" s="175"/>
      <c r="F276" s="175"/>
      <c r="G276" s="175"/>
      <c r="H276" s="175"/>
      <c r="I276" s="175"/>
      <c r="J276" s="175"/>
      <c r="K276" s="175"/>
      <c r="L276" s="175"/>
      <c r="M276" s="65"/>
      <c r="N276" s="65"/>
      <c r="O276" s="65"/>
      <c r="P276" s="65"/>
      <c r="Q276" s="65"/>
      <c r="R276" s="65"/>
      <c r="S276" s="65"/>
      <c r="T276" s="65"/>
      <c r="U276" s="65"/>
      <c r="V276" s="65"/>
      <c r="W276" s="65"/>
      <c r="X276" s="65"/>
      <c r="Y276" s="65"/>
      <c r="Z276" s="175"/>
      <c r="AA276" s="175"/>
      <c r="AB276" s="175"/>
      <c r="AC276" s="175"/>
      <c r="AD276" s="175"/>
      <c r="AE276" s="175"/>
      <c r="AF276" s="175"/>
      <c r="AG276" s="175"/>
      <c r="AH276" s="175"/>
      <c r="AI276" s="175"/>
      <c r="AJ276" s="175"/>
      <c r="AK276" s="65"/>
    </row>
    <row r="277" spans="1:37" ht="15">
      <c r="A277" s="12"/>
      <c r="B277" s="175"/>
      <c r="C277" s="175"/>
      <c r="D277" s="175"/>
      <c r="E277" s="175"/>
      <c r="F277" s="175"/>
      <c r="G277" s="175"/>
      <c r="H277" s="175"/>
      <c r="I277" s="175"/>
      <c r="J277" s="175"/>
      <c r="K277" s="175"/>
      <c r="L277" s="175"/>
      <c r="M277" s="65"/>
      <c r="N277" s="65"/>
      <c r="O277" s="65"/>
      <c r="P277" s="65"/>
      <c r="Q277" s="65"/>
      <c r="R277" s="65"/>
      <c r="S277" s="65"/>
      <c r="T277" s="65"/>
      <c r="U277" s="65"/>
      <c r="V277" s="65"/>
      <c r="W277" s="65"/>
      <c r="X277" s="65"/>
      <c r="Y277" s="65"/>
      <c r="Z277" s="175"/>
      <c r="AA277" s="175"/>
      <c r="AB277" s="175"/>
      <c r="AC277" s="175"/>
      <c r="AD277" s="175"/>
      <c r="AE277" s="175"/>
      <c r="AF277" s="175"/>
      <c r="AG277" s="175"/>
      <c r="AH277" s="175"/>
      <c r="AI277" s="175"/>
      <c r="AJ277" s="175"/>
      <c r="AK277" s="65"/>
    </row>
    <row r="278" spans="1:37" ht="15">
      <c r="A278" s="64"/>
      <c r="B278" s="175"/>
      <c r="C278" s="175"/>
      <c r="D278" s="175"/>
      <c r="E278" s="175"/>
      <c r="F278" s="175"/>
      <c r="G278" s="175"/>
      <c r="H278" s="175"/>
      <c r="I278" s="175"/>
      <c r="J278" s="175"/>
      <c r="K278" s="175"/>
      <c r="L278" s="175"/>
      <c r="M278" s="65"/>
      <c r="N278" s="65"/>
      <c r="O278" s="65"/>
      <c r="P278" s="65"/>
      <c r="Q278" s="65"/>
      <c r="R278" s="65"/>
      <c r="S278" s="65"/>
      <c r="T278" s="65"/>
      <c r="U278" s="65"/>
      <c r="V278" s="65"/>
      <c r="W278" s="65"/>
      <c r="X278" s="65"/>
      <c r="Y278" s="65"/>
      <c r="Z278" s="175"/>
      <c r="AA278" s="175"/>
      <c r="AB278" s="175"/>
      <c r="AC278" s="175"/>
      <c r="AD278" s="175"/>
      <c r="AE278" s="175"/>
      <c r="AF278" s="175"/>
      <c r="AG278" s="175"/>
      <c r="AH278" s="175"/>
      <c r="AI278" s="175"/>
      <c r="AJ278" s="175"/>
      <c r="AK278" s="65"/>
    </row>
    <row r="279" spans="1:37" ht="15">
      <c r="A279" s="64"/>
      <c r="B279" s="175"/>
      <c r="C279" s="175"/>
      <c r="D279" s="175"/>
      <c r="E279" s="175"/>
      <c r="F279" s="175"/>
      <c r="G279" s="175"/>
      <c r="H279" s="175"/>
      <c r="I279" s="175"/>
      <c r="J279" s="175"/>
      <c r="K279" s="175"/>
      <c r="L279" s="175"/>
      <c r="M279" s="65"/>
      <c r="N279" s="65"/>
      <c r="O279" s="65"/>
      <c r="P279" s="65"/>
      <c r="Q279" s="65"/>
      <c r="R279" s="65"/>
      <c r="S279" s="65"/>
      <c r="T279" s="65"/>
      <c r="U279" s="65"/>
      <c r="V279" s="65"/>
      <c r="W279" s="65"/>
      <c r="X279" s="65"/>
      <c r="Y279" s="65"/>
      <c r="Z279" s="175"/>
      <c r="AA279" s="175"/>
      <c r="AB279" s="175"/>
      <c r="AC279" s="175"/>
      <c r="AD279" s="175"/>
      <c r="AE279" s="175"/>
      <c r="AF279" s="175"/>
      <c r="AG279" s="175"/>
      <c r="AH279" s="175"/>
      <c r="AI279" s="175"/>
      <c r="AJ279" s="175"/>
      <c r="AK279" s="65"/>
    </row>
    <row r="280" spans="1:37" ht="15">
      <c r="A280" s="64"/>
      <c r="B280" s="175"/>
      <c r="C280" s="175"/>
      <c r="D280" s="175"/>
      <c r="E280" s="175"/>
      <c r="F280" s="175"/>
      <c r="G280" s="175"/>
      <c r="H280" s="175"/>
      <c r="I280" s="175"/>
      <c r="J280" s="175"/>
      <c r="K280" s="175"/>
      <c r="L280" s="175"/>
      <c r="M280" s="65"/>
      <c r="N280" s="65"/>
      <c r="O280" s="65"/>
      <c r="P280" s="65"/>
      <c r="Q280" s="65"/>
      <c r="R280" s="65"/>
      <c r="S280" s="65"/>
      <c r="T280" s="65"/>
      <c r="U280" s="65"/>
      <c r="V280" s="65"/>
      <c r="W280" s="65"/>
      <c r="X280" s="65"/>
      <c r="Y280" s="65"/>
      <c r="Z280" s="175"/>
      <c r="AA280" s="175"/>
      <c r="AB280" s="175"/>
      <c r="AC280" s="175"/>
      <c r="AD280" s="175"/>
      <c r="AE280" s="175"/>
      <c r="AF280" s="175"/>
      <c r="AG280" s="175"/>
      <c r="AH280" s="175"/>
      <c r="AI280" s="175"/>
      <c r="AJ280" s="175"/>
      <c r="AK280" s="65"/>
    </row>
    <row r="281" spans="1:37" ht="15">
      <c r="A281" s="64"/>
      <c r="B281" s="175"/>
      <c r="C281" s="175"/>
      <c r="D281" s="175"/>
      <c r="E281" s="175"/>
      <c r="F281" s="175"/>
      <c r="G281" s="175"/>
      <c r="H281" s="175"/>
      <c r="I281" s="175"/>
      <c r="J281" s="175"/>
      <c r="K281" s="175"/>
      <c r="L281" s="175"/>
      <c r="M281" s="65"/>
      <c r="N281" s="65"/>
      <c r="O281" s="65"/>
      <c r="P281" s="65"/>
      <c r="Q281" s="65"/>
      <c r="R281" s="65"/>
      <c r="S281" s="65"/>
      <c r="T281" s="65"/>
      <c r="U281" s="65"/>
      <c r="V281" s="65"/>
      <c r="W281" s="65"/>
      <c r="X281" s="65"/>
      <c r="Y281" s="65"/>
      <c r="Z281" s="175"/>
      <c r="AA281" s="175"/>
      <c r="AB281" s="175"/>
      <c r="AC281" s="175"/>
      <c r="AD281" s="175"/>
      <c r="AE281" s="175"/>
      <c r="AF281" s="175"/>
      <c r="AG281" s="175"/>
      <c r="AH281" s="175"/>
      <c r="AI281" s="175"/>
      <c r="AJ281" s="175"/>
      <c r="AK281" s="65"/>
    </row>
    <row r="282" spans="1:37" ht="15">
      <c r="A282" s="64"/>
      <c r="B282" s="175"/>
      <c r="C282" s="175"/>
      <c r="D282" s="175"/>
      <c r="E282" s="175"/>
      <c r="F282" s="175"/>
      <c r="G282" s="175"/>
      <c r="H282" s="175"/>
      <c r="I282" s="175"/>
      <c r="J282" s="175"/>
      <c r="K282" s="175"/>
      <c r="L282" s="175"/>
      <c r="M282" s="65"/>
      <c r="N282" s="65"/>
      <c r="O282" s="65"/>
      <c r="P282" s="65"/>
      <c r="Q282" s="65"/>
      <c r="R282" s="65"/>
      <c r="S282" s="65"/>
      <c r="T282" s="65"/>
      <c r="U282" s="65"/>
      <c r="V282" s="65"/>
      <c r="W282" s="65"/>
      <c r="X282" s="65"/>
      <c r="Y282" s="65"/>
      <c r="Z282" s="175"/>
      <c r="AA282" s="175"/>
      <c r="AB282" s="175"/>
      <c r="AC282" s="175"/>
      <c r="AD282" s="175"/>
      <c r="AE282" s="175"/>
      <c r="AF282" s="175"/>
      <c r="AG282" s="175"/>
      <c r="AH282" s="175"/>
      <c r="AI282" s="175"/>
      <c r="AJ282" s="175"/>
      <c r="AK282" s="65"/>
    </row>
    <row r="283" spans="1:37" ht="15">
      <c r="A283" s="12"/>
      <c r="B283" s="175"/>
      <c r="C283" s="175"/>
      <c r="D283" s="175"/>
      <c r="E283" s="175"/>
      <c r="F283" s="175"/>
      <c r="G283" s="175"/>
      <c r="H283" s="175"/>
      <c r="I283" s="175"/>
      <c r="J283" s="175"/>
      <c r="K283" s="175"/>
      <c r="L283" s="175"/>
      <c r="M283" s="65"/>
      <c r="N283" s="65"/>
      <c r="O283" s="65"/>
      <c r="P283" s="65"/>
      <c r="Q283" s="65"/>
      <c r="R283" s="65"/>
      <c r="S283" s="65"/>
      <c r="T283" s="65"/>
      <c r="U283" s="65"/>
      <c r="V283" s="65"/>
      <c r="W283" s="65"/>
      <c r="X283" s="65"/>
      <c r="Y283" s="65"/>
      <c r="Z283" s="175"/>
      <c r="AA283" s="175"/>
      <c r="AB283" s="175"/>
      <c r="AC283" s="175"/>
      <c r="AD283" s="175"/>
      <c r="AE283" s="175"/>
      <c r="AF283" s="175"/>
      <c r="AG283" s="175"/>
      <c r="AH283" s="175"/>
      <c r="AI283" s="175"/>
      <c r="AJ283" s="175"/>
      <c r="AK283" s="65"/>
    </row>
    <row r="284" spans="1:37" ht="15">
      <c r="A284" s="64"/>
      <c r="B284" s="175"/>
      <c r="C284" s="175"/>
      <c r="D284" s="175"/>
      <c r="E284" s="175"/>
      <c r="F284" s="175"/>
      <c r="G284" s="175"/>
      <c r="H284" s="175"/>
      <c r="I284" s="175"/>
      <c r="J284" s="175"/>
      <c r="K284" s="175"/>
      <c r="L284" s="175"/>
      <c r="M284" s="65"/>
      <c r="N284" s="65"/>
      <c r="O284" s="65"/>
      <c r="P284" s="65"/>
      <c r="Q284" s="65"/>
      <c r="R284" s="65"/>
      <c r="S284" s="65"/>
      <c r="T284" s="65"/>
      <c r="U284" s="65"/>
      <c r="V284" s="65"/>
      <c r="W284" s="65"/>
      <c r="X284" s="65"/>
      <c r="Y284" s="65"/>
      <c r="Z284" s="175"/>
      <c r="AA284" s="175"/>
      <c r="AB284" s="175"/>
      <c r="AC284" s="175"/>
      <c r="AD284" s="175"/>
      <c r="AE284" s="175"/>
      <c r="AF284" s="175"/>
      <c r="AG284" s="175"/>
      <c r="AH284" s="175"/>
      <c r="AI284" s="175"/>
      <c r="AJ284" s="175"/>
      <c r="AK284" s="65"/>
    </row>
    <row r="285" spans="1:37" ht="15">
      <c r="A285" s="197"/>
      <c r="B285" s="175"/>
      <c r="C285" s="175"/>
      <c r="D285" s="175"/>
      <c r="E285" s="175"/>
      <c r="F285" s="175"/>
      <c r="G285" s="175"/>
      <c r="H285" s="175"/>
      <c r="I285" s="175"/>
      <c r="J285" s="175"/>
      <c r="K285" s="175"/>
      <c r="L285" s="175"/>
      <c r="M285" s="65"/>
      <c r="N285" s="65"/>
      <c r="O285" s="65"/>
      <c r="P285" s="65"/>
      <c r="Q285" s="65"/>
      <c r="R285" s="65"/>
      <c r="S285" s="65"/>
      <c r="T285" s="65"/>
      <c r="U285" s="65"/>
      <c r="V285" s="65"/>
      <c r="W285" s="65"/>
      <c r="X285" s="65"/>
      <c r="Y285" s="65"/>
      <c r="Z285" s="175"/>
      <c r="AA285" s="175"/>
      <c r="AB285" s="175"/>
      <c r="AC285" s="175"/>
      <c r="AD285" s="175"/>
      <c r="AE285" s="175"/>
      <c r="AF285" s="175"/>
      <c r="AG285" s="175"/>
      <c r="AH285" s="175"/>
      <c r="AI285" s="175"/>
      <c r="AJ285" s="175"/>
      <c r="AK285" s="65"/>
    </row>
    <row r="286" spans="1:37" ht="15">
      <c r="A286" s="64"/>
      <c r="B286" s="175"/>
      <c r="C286" s="175"/>
      <c r="D286" s="175"/>
      <c r="E286" s="175"/>
      <c r="F286" s="175"/>
      <c r="G286" s="175"/>
      <c r="H286" s="175"/>
      <c r="I286" s="175"/>
      <c r="J286" s="175"/>
      <c r="K286" s="175"/>
      <c r="L286" s="175"/>
      <c r="M286" s="65"/>
      <c r="N286" s="65"/>
      <c r="O286" s="65"/>
      <c r="P286" s="65"/>
      <c r="Q286" s="65"/>
      <c r="R286" s="65"/>
      <c r="S286" s="65"/>
      <c r="T286" s="65"/>
      <c r="U286" s="65"/>
      <c r="V286" s="65"/>
      <c r="W286" s="65"/>
      <c r="X286" s="65"/>
      <c r="Y286" s="65"/>
      <c r="Z286" s="175"/>
      <c r="AA286" s="175"/>
      <c r="AB286" s="175"/>
      <c r="AC286" s="175"/>
      <c r="AD286" s="175"/>
      <c r="AE286" s="175"/>
      <c r="AF286" s="175"/>
      <c r="AG286" s="175"/>
      <c r="AH286" s="175"/>
      <c r="AI286" s="175"/>
      <c r="AJ286" s="175"/>
      <c r="AK286" s="65"/>
    </row>
    <row r="287" spans="1:37" ht="15">
      <c r="A287" s="64"/>
      <c r="B287" s="175"/>
      <c r="C287" s="175"/>
      <c r="D287" s="175"/>
      <c r="E287" s="175"/>
      <c r="F287" s="175"/>
      <c r="G287" s="175"/>
      <c r="H287" s="175"/>
      <c r="I287" s="175"/>
      <c r="J287" s="175"/>
      <c r="K287" s="175"/>
      <c r="L287" s="175"/>
      <c r="M287" s="65"/>
      <c r="N287" s="65"/>
      <c r="O287" s="65"/>
      <c r="P287" s="65"/>
      <c r="Q287" s="65"/>
      <c r="R287" s="65"/>
      <c r="S287" s="65"/>
      <c r="T287" s="65"/>
      <c r="U287" s="65"/>
      <c r="V287" s="65"/>
      <c r="W287" s="65"/>
      <c r="X287" s="65"/>
      <c r="Y287" s="65"/>
      <c r="Z287" s="175"/>
      <c r="AA287" s="175"/>
      <c r="AB287" s="175"/>
      <c r="AC287" s="175"/>
      <c r="AD287" s="175"/>
      <c r="AE287" s="175"/>
      <c r="AF287" s="175"/>
      <c r="AG287" s="175"/>
      <c r="AH287" s="175"/>
      <c r="AI287" s="175"/>
      <c r="AJ287" s="175"/>
      <c r="AK287" s="65"/>
    </row>
  </sheetData>
  <mergeCells count="10">
    <mergeCell ref="B1:L1"/>
    <mergeCell ref="AM1:AY1"/>
    <mergeCell ref="AN4:AU4"/>
    <mergeCell ref="AN5:AW5"/>
    <mergeCell ref="AV10:AV11"/>
    <mergeCell ref="A8:L8"/>
    <mergeCell ref="AM9:AZ9"/>
    <mergeCell ref="B9:L9"/>
    <mergeCell ref="N9:X9"/>
    <mergeCell ref="Z9:AJ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83"/>
  <sheetViews>
    <sheetView showZeros="0" zoomScale="70" zoomScaleNormal="70" workbookViewId="0" topLeftCell="A1">
      <pane xSplit="1" ySplit="4" topLeftCell="AM18" activePane="bottomRight" state="frozen"/>
      <selection pane="topRight" activeCell="B1" sqref="B1"/>
      <selection pane="bottomLeft" activeCell="A5" sqref="A5"/>
      <selection pane="bottomRight" activeCell="AW121" sqref="AW121"/>
    </sheetView>
  </sheetViews>
  <sheetFormatPr defaultColWidth="9.140625" defaultRowHeight="12.75"/>
  <cols>
    <col min="1" max="1" width="26.7109375" style="0" customWidth="1"/>
    <col min="2" max="2" width="11.28125" style="0" customWidth="1"/>
    <col min="9" max="9" width="10.7109375" style="0" customWidth="1"/>
    <col min="10" max="10" width="9.8515625" style="0" customWidth="1"/>
    <col min="12" max="12" width="12.57421875" style="243" customWidth="1"/>
    <col min="13" max="13" width="1.8515625" style="0" customWidth="1"/>
    <col min="14" max="14" width="9.7109375" style="0" customWidth="1"/>
    <col min="15" max="15" width="8.7109375" style="0" customWidth="1"/>
    <col min="16" max="16" width="9.8515625" style="0" customWidth="1"/>
    <col min="17" max="23" width="8.7109375" style="0" customWidth="1"/>
    <col min="24" max="24" width="11.421875" style="94" customWidth="1"/>
    <col min="25" max="25" width="1.8515625" style="0" customWidth="1"/>
    <col min="26" max="26" width="10.00390625" style="0" customWidth="1"/>
    <col min="27" max="27" width="8.7109375" style="0" customWidth="1"/>
    <col min="28" max="28" width="10.421875" style="0" customWidth="1"/>
    <col min="29" max="35" width="8.7109375" style="0" customWidth="1"/>
    <col min="36" max="36" width="11.57421875" style="243" customWidth="1"/>
    <col min="37" max="37" width="1.8515625" style="0" customWidth="1"/>
    <col min="39" max="39" width="11.7109375" style="0" customWidth="1"/>
    <col min="40" max="40" width="11.28125" style="0" customWidth="1"/>
    <col min="41" max="42" width="12.57421875" style="0" customWidth="1"/>
    <col min="46" max="46" width="11.00390625" style="0" customWidth="1"/>
    <col min="49" max="49" width="12.7109375" style="94" customWidth="1"/>
    <col min="50" max="50" width="1.8515625" style="0" customWidth="1"/>
    <col min="52" max="52" width="10.7109375" style="0" customWidth="1"/>
    <col min="53" max="53" width="10.421875" style="0" customWidth="1"/>
    <col min="54" max="54" width="10.00390625" style="0" customWidth="1"/>
    <col min="55" max="55" width="12.140625" style="0" customWidth="1"/>
    <col min="56" max="56" width="12.57421875" style="0" customWidth="1"/>
    <col min="57" max="57" width="9.7109375" style="0" customWidth="1"/>
    <col min="59" max="59" width="10.421875" style="0" customWidth="1"/>
    <col min="60" max="60" width="10.140625" style="0" customWidth="1"/>
    <col min="61" max="61" width="11.140625" style="0" customWidth="1"/>
    <col min="62" max="62" width="11.7109375" style="0" customWidth="1"/>
    <col min="63" max="63" width="10.8515625" style="0" customWidth="1"/>
    <col min="64" max="64" width="12.00390625" style="0" customWidth="1"/>
  </cols>
  <sheetData>
    <row r="1" spans="1:66" ht="18.75" thickBot="1">
      <c r="A1" s="1432"/>
      <c r="B1" s="1432"/>
      <c r="C1" s="1432"/>
      <c r="D1" s="1432"/>
      <c r="E1" s="1432"/>
      <c r="F1" s="1432"/>
      <c r="G1" s="1432"/>
      <c r="H1" s="1432"/>
      <c r="I1" s="1432"/>
      <c r="J1" s="1432"/>
      <c r="K1" s="1432"/>
      <c r="L1" s="1433"/>
      <c r="M1" s="26"/>
      <c r="N1" s="53"/>
      <c r="O1" s="53"/>
      <c r="P1" s="53"/>
      <c r="Q1" s="53"/>
      <c r="R1" s="53"/>
      <c r="S1" s="53"/>
      <c r="T1" s="53"/>
      <c r="U1" s="53"/>
      <c r="V1" s="53"/>
      <c r="W1" s="53"/>
      <c r="X1" s="732"/>
      <c r="Y1" s="26"/>
      <c r="Z1" s="53"/>
      <c r="AA1" s="53"/>
      <c r="AB1" s="53"/>
      <c r="AC1" s="53"/>
      <c r="AD1" s="53"/>
      <c r="AE1" s="53"/>
      <c r="AF1" s="53"/>
      <c r="AG1" s="53"/>
      <c r="AH1" s="53"/>
      <c r="AI1" s="53"/>
      <c r="AJ1" s="800"/>
      <c r="AK1" s="26"/>
      <c r="AL1" s="1439"/>
      <c r="AM1" s="1439"/>
      <c r="AN1" s="1439"/>
      <c r="AO1" s="1439"/>
      <c r="AP1" s="1439"/>
      <c r="AQ1" s="1439"/>
      <c r="AR1" s="1439"/>
      <c r="AS1" s="1439"/>
      <c r="AT1" s="1439"/>
      <c r="AU1" s="1439"/>
      <c r="AV1" s="1439"/>
      <c r="AW1" s="1440"/>
      <c r="AX1" s="26"/>
      <c r="AY1" s="750"/>
      <c r="AZ1" s="751"/>
      <c r="BA1" s="752"/>
      <c r="BB1" s="750"/>
      <c r="BC1" s="753"/>
      <c r="BD1" s="65"/>
      <c r="BE1" s="752"/>
      <c r="BF1" s="750"/>
      <c r="BG1" s="750"/>
      <c r="BH1" s="64"/>
      <c r="BI1" s="64"/>
      <c r="BJ1" s="65"/>
      <c r="BK1" s="65"/>
      <c r="BL1" s="65"/>
      <c r="BM1" s="65"/>
      <c r="BN1" s="65"/>
    </row>
    <row r="2" spans="1:66" ht="16.5" thickBot="1">
      <c r="A2" s="53"/>
      <c r="B2" s="1415" t="s">
        <v>319</v>
      </c>
      <c r="C2" s="1416"/>
      <c r="D2" s="1416"/>
      <c r="E2" s="1416"/>
      <c r="F2" s="1416"/>
      <c r="G2" s="1416"/>
      <c r="H2" s="1416"/>
      <c r="I2" s="1416"/>
      <c r="J2" s="1416"/>
      <c r="K2" s="1416"/>
      <c r="L2" s="1417"/>
      <c r="M2" s="26"/>
      <c r="N2" s="1415" t="s">
        <v>320</v>
      </c>
      <c r="O2" s="1416"/>
      <c r="P2" s="1416"/>
      <c r="Q2" s="1416"/>
      <c r="R2" s="1416"/>
      <c r="S2" s="1416"/>
      <c r="T2" s="1416"/>
      <c r="U2" s="1416"/>
      <c r="V2" s="1416"/>
      <c r="W2" s="1416"/>
      <c r="X2" s="1417"/>
      <c r="Y2" s="26"/>
      <c r="Z2" s="1415" t="s">
        <v>321</v>
      </c>
      <c r="AA2" s="1416"/>
      <c r="AB2" s="1416"/>
      <c r="AC2" s="1416"/>
      <c r="AD2" s="1416"/>
      <c r="AE2" s="1416"/>
      <c r="AF2" s="1416"/>
      <c r="AG2" s="1416"/>
      <c r="AH2" s="1416"/>
      <c r="AI2" s="1416"/>
      <c r="AJ2" s="1417"/>
      <c r="AK2" s="26"/>
      <c r="AL2" s="1409" t="s">
        <v>322</v>
      </c>
      <c r="AM2" s="1410"/>
      <c r="AN2" s="1410"/>
      <c r="AO2" s="1410"/>
      <c r="AP2" s="1410"/>
      <c r="AQ2" s="1410"/>
      <c r="AR2" s="1410"/>
      <c r="AS2" s="1410"/>
      <c r="AT2" s="1410"/>
      <c r="AU2" s="1410"/>
      <c r="AV2" s="1410"/>
      <c r="AW2" s="1411"/>
      <c r="AX2" s="26"/>
      <c r="AY2" s="1441" t="s">
        <v>346</v>
      </c>
      <c r="AZ2" s="1442"/>
      <c r="BA2" s="1442"/>
      <c r="BB2" s="1442"/>
      <c r="BC2" s="1442"/>
      <c r="BD2" s="1442"/>
      <c r="BE2" s="1442"/>
      <c r="BF2" s="1442"/>
      <c r="BG2" s="1442"/>
      <c r="BH2" s="1442"/>
      <c r="BI2" s="1442"/>
      <c r="BJ2" s="1443"/>
      <c r="BK2" s="944"/>
      <c r="BL2" s="944"/>
      <c r="BM2" s="944"/>
      <c r="BN2" s="944"/>
    </row>
    <row r="3" spans="1:66" ht="12.75">
      <c r="A3" s="40" t="s">
        <v>0</v>
      </c>
      <c r="B3" s="41" t="s">
        <v>47</v>
      </c>
      <c r="C3" s="41" t="s">
        <v>48</v>
      </c>
      <c r="D3" s="42" t="s">
        <v>57</v>
      </c>
      <c r="E3" s="41" t="s">
        <v>49</v>
      </c>
      <c r="F3" s="41" t="s">
        <v>50</v>
      </c>
      <c r="G3" s="41" t="s">
        <v>51</v>
      </c>
      <c r="H3" s="42" t="s">
        <v>52</v>
      </c>
      <c r="I3" s="42" t="s">
        <v>53</v>
      </c>
      <c r="J3" s="42" t="s">
        <v>54</v>
      </c>
      <c r="K3" s="41" t="s">
        <v>55</v>
      </c>
      <c r="L3" s="797" t="s">
        <v>56</v>
      </c>
      <c r="M3" s="26"/>
      <c r="N3" s="41" t="s">
        <v>47</v>
      </c>
      <c r="O3" s="41" t="s">
        <v>48</v>
      </c>
      <c r="P3" s="42" t="s">
        <v>57</v>
      </c>
      <c r="Q3" s="41" t="s">
        <v>49</v>
      </c>
      <c r="R3" s="41" t="s">
        <v>50</v>
      </c>
      <c r="S3" s="41" t="s">
        <v>51</v>
      </c>
      <c r="T3" s="42" t="s">
        <v>52</v>
      </c>
      <c r="U3" s="42" t="s">
        <v>53</v>
      </c>
      <c r="V3" s="42" t="s">
        <v>54</v>
      </c>
      <c r="W3" s="41" t="s">
        <v>55</v>
      </c>
      <c r="X3" s="797" t="s">
        <v>56</v>
      </c>
      <c r="Y3" s="26"/>
      <c r="Z3" s="41" t="s">
        <v>47</v>
      </c>
      <c r="AA3" s="41" t="s">
        <v>48</v>
      </c>
      <c r="AB3" s="42" t="s">
        <v>57</v>
      </c>
      <c r="AC3" s="41" t="s">
        <v>49</v>
      </c>
      <c r="AD3" s="41" t="s">
        <v>50</v>
      </c>
      <c r="AE3" s="41" t="s">
        <v>51</v>
      </c>
      <c r="AF3" s="42" t="s">
        <v>52</v>
      </c>
      <c r="AG3" s="42" t="s">
        <v>53</v>
      </c>
      <c r="AH3" s="1450" t="s">
        <v>54</v>
      </c>
      <c r="AI3" s="41" t="s">
        <v>55</v>
      </c>
      <c r="AJ3" s="797" t="s">
        <v>56</v>
      </c>
      <c r="AK3" s="26"/>
      <c r="AL3" s="69" t="s">
        <v>76</v>
      </c>
      <c r="AM3" s="92" t="s">
        <v>47</v>
      </c>
      <c r="AN3" s="92" t="s">
        <v>48</v>
      </c>
      <c r="AO3" s="99" t="s">
        <v>57</v>
      </c>
      <c r="AP3" s="92" t="s">
        <v>49</v>
      </c>
      <c r="AQ3" s="92" t="s">
        <v>50</v>
      </c>
      <c r="AR3" s="92" t="s">
        <v>51</v>
      </c>
      <c r="AS3" s="99" t="s">
        <v>52</v>
      </c>
      <c r="AT3" s="99" t="s">
        <v>79</v>
      </c>
      <c r="AU3" s="1452" t="s">
        <v>54</v>
      </c>
      <c r="AV3" s="92" t="s">
        <v>55</v>
      </c>
      <c r="AW3" s="96" t="s">
        <v>56</v>
      </c>
      <c r="AX3" s="26"/>
      <c r="AY3" s="1444"/>
      <c r="AZ3" s="1445"/>
      <c r="BA3" s="1445"/>
      <c r="BB3" s="1445"/>
      <c r="BC3" s="1445"/>
      <c r="BD3" s="1445"/>
      <c r="BE3" s="1445"/>
      <c r="BF3" s="1445"/>
      <c r="BG3" s="1445"/>
      <c r="BH3" s="1445"/>
      <c r="BI3" s="1445"/>
      <c r="BJ3" s="1446"/>
      <c r="BK3" s="755"/>
      <c r="BL3" s="65"/>
      <c r="BM3" s="754"/>
      <c r="BN3" s="65"/>
    </row>
    <row r="4" spans="1:66" ht="13.5" thickBot="1">
      <c r="A4" s="44" t="s">
        <v>1</v>
      </c>
      <c r="B4" s="45" t="s">
        <v>46</v>
      </c>
      <c r="C4" s="45" t="s">
        <v>58</v>
      </c>
      <c r="D4" s="46" t="s">
        <v>59</v>
      </c>
      <c r="E4" s="45"/>
      <c r="F4" s="45"/>
      <c r="G4" s="45"/>
      <c r="H4" s="46" t="s">
        <v>61</v>
      </c>
      <c r="I4" s="46" t="s">
        <v>60</v>
      </c>
      <c r="J4" s="46"/>
      <c r="K4" s="45"/>
      <c r="L4" s="798"/>
      <c r="M4" s="26"/>
      <c r="N4" s="45" t="s">
        <v>46</v>
      </c>
      <c r="O4" s="45" t="s">
        <v>58</v>
      </c>
      <c r="P4" s="46" t="s">
        <v>59</v>
      </c>
      <c r="Q4" s="45"/>
      <c r="R4" s="45"/>
      <c r="S4" s="45"/>
      <c r="T4" s="46" t="s">
        <v>61</v>
      </c>
      <c r="U4" s="46" t="s">
        <v>60</v>
      </c>
      <c r="V4" s="46"/>
      <c r="W4" s="45"/>
      <c r="X4" s="798"/>
      <c r="Y4" s="26"/>
      <c r="Z4" s="45" t="s">
        <v>46</v>
      </c>
      <c r="AA4" s="45" t="s">
        <v>58</v>
      </c>
      <c r="AB4" s="46" t="s">
        <v>59</v>
      </c>
      <c r="AC4" s="45"/>
      <c r="AD4" s="45"/>
      <c r="AE4" s="45"/>
      <c r="AF4" s="46" t="s">
        <v>61</v>
      </c>
      <c r="AG4" s="46" t="s">
        <v>60</v>
      </c>
      <c r="AH4" s="1451"/>
      <c r="AI4" s="45"/>
      <c r="AJ4" s="798"/>
      <c r="AK4" s="26"/>
      <c r="AL4" s="2" t="s">
        <v>77</v>
      </c>
      <c r="AM4" s="93" t="s">
        <v>46</v>
      </c>
      <c r="AN4" s="93" t="s">
        <v>58</v>
      </c>
      <c r="AO4" s="100" t="s">
        <v>59</v>
      </c>
      <c r="AP4" s="93"/>
      <c r="AQ4" s="93"/>
      <c r="AR4" s="93"/>
      <c r="AS4" s="100" t="s">
        <v>61</v>
      </c>
      <c r="AT4" s="101" t="s">
        <v>80</v>
      </c>
      <c r="AU4" s="1453"/>
      <c r="AV4" s="93"/>
      <c r="AW4" s="97"/>
      <c r="AX4" s="26"/>
      <c r="AY4" s="1447"/>
      <c r="AZ4" s="1448"/>
      <c r="BA4" s="1448"/>
      <c r="BB4" s="1448"/>
      <c r="BC4" s="1448"/>
      <c r="BD4" s="1448"/>
      <c r="BE4" s="1448"/>
      <c r="BF4" s="1448"/>
      <c r="BG4" s="1448"/>
      <c r="BH4" s="1448"/>
      <c r="BI4" s="1448"/>
      <c r="BJ4" s="1449"/>
      <c r="BK4" s="65"/>
      <c r="BL4" s="65"/>
      <c r="BM4" s="754"/>
      <c r="BN4" s="65"/>
    </row>
    <row r="5" spans="1:67" ht="15.75" thickBot="1">
      <c r="A5" s="50"/>
      <c r="B5" s="51"/>
      <c r="C5" s="51"/>
      <c r="D5" s="204"/>
      <c r="E5" s="51"/>
      <c r="F5" s="51"/>
      <c r="G5" s="51"/>
      <c r="H5" s="51"/>
      <c r="I5" s="51"/>
      <c r="J5" s="51"/>
      <c r="K5" s="51"/>
      <c r="L5" s="801"/>
      <c r="M5" s="31"/>
      <c r="N5" s="51"/>
      <c r="O5" s="51"/>
      <c r="P5" s="204"/>
      <c r="Q5" s="51"/>
      <c r="R5" s="51"/>
      <c r="S5" s="51"/>
      <c r="T5" s="51"/>
      <c r="U5" s="51"/>
      <c r="V5" s="51"/>
      <c r="W5" s="51"/>
      <c r="X5" s="943"/>
      <c r="Y5" s="31"/>
      <c r="Z5" s="51"/>
      <c r="AA5" s="51"/>
      <c r="AB5" s="204"/>
      <c r="AC5" s="51"/>
      <c r="AD5" s="51"/>
      <c r="AE5" s="51"/>
      <c r="AF5" s="51"/>
      <c r="AG5" s="51"/>
      <c r="AH5" s="51"/>
      <c r="AI5" s="51"/>
      <c r="AJ5" s="801"/>
      <c r="AK5" s="31"/>
      <c r="AL5" s="8"/>
      <c r="AM5" s="95"/>
      <c r="AN5" s="95"/>
      <c r="AO5" s="95"/>
      <c r="AP5" s="95"/>
      <c r="AQ5" s="95"/>
      <c r="AR5" s="95"/>
      <c r="AS5" s="95"/>
      <c r="AT5" s="95"/>
      <c r="AU5" s="95"/>
      <c r="AV5" s="95"/>
      <c r="AW5" s="748">
        <f ca="1">L6+X6+AJ6</f>
        <v>47982.184086917834</v>
      </c>
      <c r="AX5" s="31"/>
      <c r="AY5" s="756"/>
      <c r="AZ5" s="757"/>
      <c r="BA5" s="757"/>
      <c r="BB5" s="757"/>
      <c r="BC5" s="757"/>
      <c r="BD5" s="757"/>
      <c r="BE5" s="757"/>
      <c r="BF5" s="757"/>
      <c r="BG5" s="757"/>
      <c r="BH5" s="757"/>
      <c r="BI5" s="757"/>
      <c r="BJ5" s="1337"/>
      <c r="BK5" s="757"/>
      <c r="BL5" s="756"/>
      <c r="BM5" s="756"/>
      <c r="BN5" s="756"/>
      <c r="BO5" s="10"/>
    </row>
    <row r="6" spans="1:67" ht="15.75" thickBot="1">
      <c r="A6" s="84" t="s">
        <v>112</v>
      </c>
      <c r="B6" s="85"/>
      <c r="C6" s="85"/>
      <c r="D6" s="85"/>
      <c r="E6" s="85"/>
      <c r="F6" s="85"/>
      <c r="G6" s="85"/>
      <c r="H6" s="85"/>
      <c r="I6" s="85"/>
      <c r="J6" s="85"/>
      <c r="K6" s="85"/>
      <c r="L6" s="1324">
        <f ca="1">L21+L22</f>
        <v>12678.535223024379</v>
      </c>
      <c r="M6" s="31"/>
      <c r="N6" s="85"/>
      <c r="O6" s="85"/>
      <c r="P6" s="85"/>
      <c r="Q6" s="85"/>
      <c r="R6" s="85"/>
      <c r="S6" s="85"/>
      <c r="T6" s="85"/>
      <c r="U6" s="85"/>
      <c r="V6" s="85"/>
      <c r="W6" s="85"/>
      <c r="X6" s="1324">
        <f ca="1">X21+X22</f>
        <v>18972.32398707126</v>
      </c>
      <c r="Y6" s="31"/>
      <c r="Z6" s="85"/>
      <c r="AA6" s="85"/>
      <c r="AB6" s="85"/>
      <c r="AC6" s="85"/>
      <c r="AD6" s="85"/>
      <c r="AE6" s="85"/>
      <c r="AF6" s="85"/>
      <c r="AG6" s="85"/>
      <c r="AH6" s="85"/>
      <c r="AI6" s="85"/>
      <c r="AJ6" s="1324">
        <f ca="1">AJ21+AJ22</f>
        <v>16331.324876822197</v>
      </c>
      <c r="AK6" s="31"/>
      <c r="AL6" s="8"/>
      <c r="AM6" s="95">
        <f ca="1">AM22-SUM(AM7:AM20)</f>
        <v>-3588.881743206528</v>
      </c>
      <c r="AN6" s="95">
        <f aca="true" t="shared" si="0" ref="AN6:AS6">AN22-SUM(AN7:AN20)</f>
        <v>222.58919055417383</v>
      </c>
      <c r="AO6" s="95">
        <f ca="1">AO22-SUM(AO7:AO20)</f>
        <v>10639.580407233232</v>
      </c>
      <c r="AP6" s="95">
        <f ca="1">AP22-SUM(AP7:AP20)</f>
        <v>64.84591237728316</v>
      </c>
      <c r="AQ6" s="95">
        <f ca="1" t="shared" si="0"/>
        <v>0</v>
      </c>
      <c r="AR6" s="95">
        <f ca="1" t="shared" si="0"/>
        <v>0</v>
      </c>
      <c r="AS6" s="95">
        <f ca="1" t="shared" si="0"/>
        <v>0</v>
      </c>
      <c r="AT6" s="95">
        <f ca="1">AT22-SUM(AT7:AT20)</f>
        <v>3301.1035984775276</v>
      </c>
      <c r="AU6" s="95"/>
      <c r="AV6" s="95"/>
      <c r="AW6" s="1307">
        <f ca="1">AW21+AW22</f>
        <v>46284.820247793316</v>
      </c>
      <c r="AX6" s="31"/>
      <c r="AY6" s="1373"/>
      <c r="AZ6" s="134"/>
      <c r="BA6" s="748"/>
      <c r="BB6" s="748"/>
      <c r="BC6" s="748"/>
      <c r="BD6" s="748"/>
      <c r="BE6" s="748"/>
      <c r="BF6" s="748"/>
      <c r="BG6" s="748"/>
      <c r="BH6" s="749"/>
      <c r="BI6" s="749"/>
      <c r="BJ6" s="748">
        <f ca="1">BJ21+BJ22</f>
        <v>2311731.4007303305</v>
      </c>
      <c r="BK6" s="109" t="s">
        <v>393</v>
      </c>
      <c r="BL6" s="18"/>
      <c r="BM6" s="935"/>
      <c r="BN6" s="756"/>
      <c r="BO6" s="18"/>
    </row>
    <row r="7" spans="1:66" ht="12.75">
      <c r="A7" s="48" t="s">
        <v>9</v>
      </c>
      <c r="B7" s="49"/>
      <c r="C7" s="49"/>
      <c r="D7" s="53"/>
      <c r="E7" s="49"/>
      <c r="F7" s="49"/>
      <c r="G7" s="49"/>
      <c r="H7" s="49"/>
      <c r="I7" s="49"/>
      <c r="J7" s="49"/>
      <c r="K7" s="49"/>
      <c r="L7" s="1325"/>
      <c r="M7" s="26"/>
      <c r="N7" s="732"/>
      <c r="O7" s="732"/>
      <c r="P7" s="732"/>
      <c r="Q7" s="732"/>
      <c r="R7" s="732"/>
      <c r="S7" s="732"/>
      <c r="T7" s="732"/>
      <c r="U7" s="732"/>
      <c r="V7" s="732"/>
      <c r="W7" s="732"/>
      <c r="X7" s="1325"/>
      <c r="Y7" s="663"/>
      <c r="Z7" s="732"/>
      <c r="AA7" s="732"/>
      <c r="AB7" s="732"/>
      <c r="AC7" s="732"/>
      <c r="AD7" s="732"/>
      <c r="AE7" s="732"/>
      <c r="AF7" s="732"/>
      <c r="AG7" s="732"/>
      <c r="AH7" s="732"/>
      <c r="AI7" s="732"/>
      <c r="AJ7" s="1325"/>
      <c r="AK7" s="663"/>
      <c r="AL7" s="1262" t="s">
        <v>9</v>
      </c>
      <c r="AM7" s="154"/>
      <c r="AN7" s="154"/>
      <c r="AO7" s="154"/>
      <c r="AP7" s="154"/>
      <c r="AQ7" s="154"/>
      <c r="AR7" s="154"/>
      <c r="AS7" s="154"/>
      <c r="AT7" s="154"/>
      <c r="AU7" s="154"/>
      <c r="AV7" s="154"/>
      <c r="AW7" s="117"/>
      <c r="AX7" s="26"/>
      <c r="AY7" s="82" t="s">
        <v>9</v>
      </c>
      <c r="AZ7" s="116"/>
      <c r="BA7" s="116"/>
      <c r="BB7" s="116"/>
      <c r="BC7" s="116"/>
      <c r="BD7" s="116"/>
      <c r="BE7" s="116"/>
      <c r="BF7" s="116"/>
      <c r="BG7" s="116"/>
      <c r="BH7" s="116"/>
      <c r="BI7" s="116"/>
      <c r="BJ7" s="117"/>
      <c r="BK7" s="4">
        <f ca="1">-100*BJ7/BJ$21</f>
        <v>0</v>
      </c>
      <c r="BL7" s="4"/>
      <c r="BM7" s="142"/>
      <c r="BN7" s="91"/>
    </row>
    <row r="8" spans="1:66" ht="12.75">
      <c r="A8" s="48" t="s">
        <v>13</v>
      </c>
      <c r="B8" s="49">
        <f>PMemission!B15*(B66)</f>
        <v>0</v>
      </c>
      <c r="C8" s="49">
        <f>PMemission!C15*(C66)</f>
        <v>0</v>
      </c>
      <c r="D8" s="49">
        <f>PMemission!D15*(D66)</f>
        <v>0</v>
      </c>
      <c r="E8" s="49">
        <f>PMemission!E15*(E66)</f>
        <v>0</v>
      </c>
      <c r="F8" s="49">
        <f>PMemission!F15*(F66)</f>
        <v>0</v>
      </c>
      <c r="G8" s="49">
        <f>PMemission!G15*(G66)</f>
        <v>0</v>
      </c>
      <c r="H8" s="49">
        <f>PMemission!H15*(H66)</f>
        <v>0</v>
      </c>
      <c r="I8" s="49">
        <f>PMemission!I15*(I66)</f>
        <v>0</v>
      </c>
      <c r="J8" s="49">
        <f>PMemission!J15*(J66)</f>
        <v>0</v>
      </c>
      <c r="K8" s="49">
        <f>PMemission!K15*(K66)</f>
        <v>0</v>
      </c>
      <c r="L8" s="1309"/>
      <c r="M8" s="26"/>
      <c r="N8" s="732"/>
      <c r="O8" s="732"/>
      <c r="P8" s="732"/>
      <c r="Q8" s="732"/>
      <c r="R8" s="732"/>
      <c r="S8" s="732"/>
      <c r="T8" s="732"/>
      <c r="U8" s="732"/>
      <c r="V8" s="732"/>
      <c r="W8" s="732"/>
      <c r="X8" s="1311"/>
      <c r="Y8" s="663"/>
      <c r="Z8" s="732"/>
      <c r="AA8" s="732"/>
      <c r="AB8" s="732"/>
      <c r="AC8" s="732"/>
      <c r="AD8" s="732"/>
      <c r="AE8" s="732"/>
      <c r="AF8" s="732"/>
      <c r="AG8" s="732"/>
      <c r="AH8" s="732"/>
      <c r="AI8" s="732"/>
      <c r="AJ8" s="1309"/>
      <c r="AK8" s="663"/>
      <c r="AL8" s="1262" t="s">
        <v>13</v>
      </c>
      <c r="AM8" s="154"/>
      <c r="AN8" s="154"/>
      <c r="AO8" s="154"/>
      <c r="AP8" s="154"/>
      <c r="AQ8" s="154"/>
      <c r="AR8" s="154"/>
      <c r="AS8" s="154"/>
      <c r="AT8" s="154"/>
      <c r="AU8" s="154"/>
      <c r="AV8" s="154"/>
      <c r="AW8" s="117"/>
      <c r="AX8" s="26"/>
      <c r="AY8" s="78" t="s">
        <v>13</v>
      </c>
      <c r="AZ8" s="116"/>
      <c r="BA8" s="116"/>
      <c r="BB8" s="116"/>
      <c r="BC8" s="116"/>
      <c r="BD8" s="116"/>
      <c r="BE8" s="116"/>
      <c r="BF8" s="116"/>
      <c r="BG8" s="116"/>
      <c r="BH8" s="116"/>
      <c r="BI8" s="116"/>
      <c r="BJ8" s="117"/>
      <c r="BK8" s="4">
        <f ca="1">-100*BJ8/BJ$21</f>
        <v>0</v>
      </c>
      <c r="BL8" s="4"/>
      <c r="BM8" s="142"/>
      <c r="BN8" s="91"/>
    </row>
    <row r="9" spans="1:66" ht="14.25">
      <c r="A9" s="48" t="s">
        <v>10</v>
      </c>
      <c r="B9" s="49">
        <f>PMemission!B16*(B67)</f>
        <v>213.45603125000002</v>
      </c>
      <c r="C9" s="49">
        <f>PMemission!C16*(C67)</f>
        <v>0</v>
      </c>
      <c r="D9" s="49">
        <f>PMemission!D16*(D67)</f>
        <v>0.87616</v>
      </c>
      <c r="E9" s="49">
        <f>PMemission!E16*(E67)</f>
        <v>0</v>
      </c>
      <c r="F9" s="49">
        <f>PMemission!F16*(F67)</f>
        <v>0</v>
      </c>
      <c r="G9" s="49">
        <f>PMemission!G16*(G67)</f>
        <v>0</v>
      </c>
      <c r="H9" s="49">
        <f>PMemission!H16*(H67)</f>
        <v>0</v>
      </c>
      <c r="I9" s="49">
        <f>PMemission!I16*(I67)</f>
        <v>10.374057142857145</v>
      </c>
      <c r="J9" s="49">
        <f>PMemission!J16*(J67)</f>
        <v>0</v>
      </c>
      <c r="K9" s="49">
        <f>PMemission!K16*(K67)</f>
        <v>0</v>
      </c>
      <c r="L9" s="1309">
        <f aca="true" t="shared" si="1" ref="L9:L19">SUM(B9:K9)</f>
        <v>224.70624839285716</v>
      </c>
      <c r="M9" s="26"/>
      <c r="N9" s="729">
        <f>PMemission!N16*(N67)</f>
        <v>5305.966620544434</v>
      </c>
      <c r="O9" s="729">
        <f>PMemission!O16*(O67)</f>
        <v>0</v>
      </c>
      <c r="P9" s="729">
        <f>PMemission!P16*(P67)</f>
        <v>408.3577265625</v>
      </c>
      <c r="Q9" s="732">
        <f>PMemission!Q16*(Q67)</f>
        <v>0</v>
      </c>
      <c r="R9" s="732">
        <f>PMemission!R16*(R67)</f>
        <v>0</v>
      </c>
      <c r="S9" s="732">
        <f>PMemission!S16*(S67)</f>
        <v>0</v>
      </c>
      <c r="T9" s="732">
        <f>PMemission!T16*(T67)</f>
        <v>0</v>
      </c>
      <c r="U9" s="732">
        <f>PMemission!U16*(U67)</f>
        <v>0</v>
      </c>
      <c r="V9" s="732">
        <f>PMemission!V16*(V67)</f>
        <v>0</v>
      </c>
      <c r="W9" s="1263">
        <f>PMemission!W16*(W67)</f>
        <v>0</v>
      </c>
      <c r="X9" s="1311">
        <f aca="true" t="shared" si="2" ref="X9:X19">SUM(N9:W9)</f>
        <v>5714.324347106934</v>
      </c>
      <c r="Y9" s="663"/>
      <c r="Z9" s="732">
        <f>PMemission!Z16*(Z67)</f>
        <v>0.3003728</v>
      </c>
      <c r="AA9" s="732">
        <f>PMemission!AA16*(AA67)</f>
        <v>0</v>
      </c>
      <c r="AB9" s="732">
        <f>PMemission!AB16*(AB67)</f>
        <v>0.6571199999999999</v>
      </c>
      <c r="AC9" s="732">
        <f>PMemission!AC16*(AC67)</f>
        <v>22.894240000000003</v>
      </c>
      <c r="AD9" s="732">
        <f>PMemission!AD16*(AD67)</f>
        <v>0</v>
      </c>
      <c r="AE9" s="732">
        <f>PMemission!AE16*(AE67)</f>
        <v>0</v>
      </c>
      <c r="AF9" s="732">
        <f>PMemission!AF16*(AF67)</f>
        <v>0</v>
      </c>
      <c r="AG9" s="732">
        <f>PMemission!AG16*(AG67)</f>
        <v>0.101328</v>
      </c>
      <c r="AH9" s="732">
        <f>PMemission!AH16*(AH67)</f>
        <v>0</v>
      </c>
      <c r="AI9" s="732">
        <f>PMemission!AI16*(AI67)</f>
        <v>0</v>
      </c>
      <c r="AJ9" s="1309">
        <f aca="true" t="shared" si="3" ref="AJ9:AJ19">SUM(Z9:AI9)</f>
        <v>23.953060800000003</v>
      </c>
      <c r="AK9" s="663"/>
      <c r="AL9" s="1262" t="s">
        <v>10</v>
      </c>
      <c r="AM9" s="154">
        <f ca="1">(B9+N9+Z9)*$AU$102/$AS$102</f>
        <v>5330.802415756025</v>
      </c>
      <c r="AN9" s="154">
        <f aca="true" t="shared" si="4" ref="AN9:AN19">(C9+O9+AA9)*$AU$102/$AS$102</f>
        <v>0</v>
      </c>
      <c r="AO9" s="154">
        <f aca="true" t="shared" si="5" ref="AO9:AO19">(D9+P9+AB9)*$AU$102/$AS$102</f>
        <v>395.8618862294439</v>
      </c>
      <c r="AP9" s="154">
        <f aca="true" t="shared" si="6" ref="AP9:AP19">(E9+Q9+AC9)*$AU$102/$AS$102</f>
        <v>22.110651087943957</v>
      </c>
      <c r="AQ9" s="154">
        <f aca="true" t="shared" si="7" ref="AQ9:AQ19">(F9+R9+AD9)*$AU$102/$AS$102</f>
        <v>0</v>
      </c>
      <c r="AR9" s="154">
        <f aca="true" t="shared" si="8" ref="AR9:AR19">(G9+S9+AE9)*$AU$102/$AS$102</f>
        <v>0</v>
      </c>
      <c r="AS9" s="154">
        <f aca="true" t="shared" si="9" ref="AS9:AS19">(H9+T9+AF9)*$AU$102/$AS$102</f>
        <v>0</v>
      </c>
      <c r="AT9" s="154">
        <f aca="true" t="shared" si="10" ref="AT9:AT19">(I9+U9+AG9)*$AU$102/$AS$102</f>
        <v>10.116849736245722</v>
      </c>
      <c r="AU9" s="154">
        <f aca="true" t="shared" si="11" ref="AU9:AU20">J9+V9+AH9</f>
        <v>0</v>
      </c>
      <c r="AV9" s="154">
        <f aca="true" t="shared" si="12" ref="AV9:AV20">K9+W9+AI9</f>
        <v>0</v>
      </c>
      <c r="AW9" s="894">
        <f aca="true" t="shared" si="13" ref="AW9:AW17">SUM(AM9:AV9)</f>
        <v>5758.891802809659</v>
      </c>
      <c r="AX9" s="26"/>
      <c r="AY9" s="78" t="s">
        <v>10</v>
      </c>
      <c r="AZ9" s="116">
        <f aca="true" t="shared" si="14" ref="AZ9:AZ19">1000*AM9*$BD$89</f>
        <v>286582.72899511096</v>
      </c>
      <c r="BA9" s="116">
        <f aca="true" t="shared" si="15" ref="BA9:BA19">1000*AN9*$BD$89</f>
        <v>0</v>
      </c>
      <c r="BB9" s="116">
        <f aca="true" t="shared" si="16" ref="BB9:BB19">1000*AO9*$BD$89</f>
        <v>21281.44523336209</v>
      </c>
      <c r="BC9" s="116">
        <f aca="true" t="shared" si="17" ref="BC9:BC19">1000*AP9*$BD$89</f>
        <v>1188.6635884145855</v>
      </c>
      <c r="BD9" s="116">
        <f aca="true" t="shared" si="18" ref="BD9:BD19">1000*AQ9*$BD$89</f>
        <v>0</v>
      </c>
      <c r="BE9" s="116">
        <f aca="true" t="shared" si="19" ref="BE9:BE19">1000*AR9*$BD$89</f>
        <v>0</v>
      </c>
      <c r="BF9" s="116">
        <f aca="true" t="shared" si="20" ref="BF9:BF19">1000*AS9*$BD$89</f>
        <v>0</v>
      </c>
      <c r="BG9" s="116">
        <f aca="true" t="shared" si="21" ref="BG9:BG19">1000*AT9*$BD$89</f>
        <v>543.8795476038256</v>
      </c>
      <c r="BH9" s="116">
        <f aca="true" t="shared" si="22" ref="BH9:BH19">1000*AU9*$BD$89</f>
        <v>0</v>
      </c>
      <c r="BI9" s="116">
        <f aca="true" t="shared" si="23" ref="BI9:BI19">1000*AV9*$BD$89</f>
        <v>0</v>
      </c>
      <c r="BJ9" s="894">
        <f ca="1">SUM(AZ9:BI9)</f>
        <v>309596.7173644915</v>
      </c>
      <c r="BK9" s="4">
        <f aca="true" t="shared" si="24" ref="BK9:BK19">100*BJ9/BJ$6</f>
        <v>13.39241735725364</v>
      </c>
      <c r="BL9" s="917" t="s">
        <v>94</v>
      </c>
      <c r="BM9" s="241" t="s">
        <v>95</v>
      </c>
      <c r="BN9" s="932"/>
    </row>
    <row r="10" spans="1:66" ht="12.75">
      <c r="A10" s="48" t="s">
        <v>11</v>
      </c>
      <c r="B10" s="49">
        <f>PMemission!B17*(B68)</f>
        <v>632.5913085937501</v>
      </c>
      <c r="C10" s="49">
        <f>PMemission!C17*(C68)</f>
        <v>0</v>
      </c>
      <c r="D10" s="49">
        <f>PMemission!D17*(D68)</f>
        <v>4.444</v>
      </c>
      <c r="E10" s="49">
        <f>PMemission!E17*(E68)</f>
        <v>0</v>
      </c>
      <c r="F10" s="49">
        <f>PMemission!F17*(F68)</f>
        <v>0</v>
      </c>
      <c r="G10" s="49">
        <f>PMemission!G17*(G68)</f>
        <v>0</v>
      </c>
      <c r="H10" s="49">
        <f>PMemission!H17*(H68)</f>
        <v>0</v>
      </c>
      <c r="I10" s="49">
        <f>PMemission!I17*(I68)</f>
        <v>332.11357142857145</v>
      </c>
      <c r="J10" s="49">
        <f>PMemission!J17*(J68)</f>
        <v>0</v>
      </c>
      <c r="K10" s="49">
        <f>PMemission!K17*(K68)</f>
        <v>0</v>
      </c>
      <c r="L10" s="1309">
        <f t="shared" si="1"/>
        <v>969.1488800223215</v>
      </c>
      <c r="M10" s="26"/>
      <c r="N10" s="729">
        <f>PMemission!N17*(N68)</f>
        <v>3160.5124401855473</v>
      </c>
      <c r="O10" s="729">
        <f>PMemission!O17*(O68)</f>
        <v>0</v>
      </c>
      <c r="P10" s="729">
        <f>PMemission!P17*(P68)</f>
        <v>416.30306249999995</v>
      </c>
      <c r="Q10" s="732">
        <f>PMemission!Q17*(Q68)</f>
        <v>0</v>
      </c>
      <c r="R10" s="732">
        <f>PMemission!R17*(R68)</f>
        <v>0</v>
      </c>
      <c r="S10" s="732">
        <f>PMemission!S17*(S68)</f>
        <v>0</v>
      </c>
      <c r="T10" s="732">
        <f>PMemission!T17*(T68)</f>
        <v>0</v>
      </c>
      <c r="U10" s="732">
        <f>PMemission!U17*(U68)</f>
        <v>0</v>
      </c>
      <c r="V10" s="732">
        <f>PMemission!V17*(V68)</f>
        <v>0</v>
      </c>
      <c r="W10" s="732">
        <f>PMemission!W17*(W68)</f>
        <v>0</v>
      </c>
      <c r="X10" s="1311">
        <f t="shared" si="2"/>
        <v>3576.8155026855475</v>
      </c>
      <c r="Y10" s="663"/>
      <c r="Z10" s="732">
        <f>PMemission!Z17*(Z68)</f>
        <v>2.0884875000000003</v>
      </c>
      <c r="AA10" s="732">
        <f>PMemission!AA17*(AA68)</f>
        <v>0</v>
      </c>
      <c r="AB10" s="732">
        <f>PMemission!AB17*(AB68)</f>
        <v>4.444</v>
      </c>
      <c r="AC10" s="732">
        <f>PMemission!AC17*(AC68)</f>
        <v>158.2944</v>
      </c>
      <c r="AD10" s="732">
        <f>PMemission!AD17*(AD68)</f>
        <v>0</v>
      </c>
      <c r="AE10" s="732">
        <f>PMemission!AE17*(AE68)</f>
        <v>0</v>
      </c>
      <c r="AF10" s="732">
        <f>PMemission!AF17*(AF68)</f>
        <v>0</v>
      </c>
      <c r="AG10" s="732">
        <f>PMemission!AG17*(AG68)</f>
        <v>8.6504</v>
      </c>
      <c r="AH10" s="732">
        <f>PMemission!AH17*(AH68)</f>
        <v>0</v>
      </c>
      <c r="AI10" s="732">
        <f>PMemission!AI17*(AI68)</f>
        <v>0</v>
      </c>
      <c r="AJ10" s="1309">
        <f t="shared" si="3"/>
        <v>173.4772875</v>
      </c>
      <c r="AK10" s="663"/>
      <c r="AL10" s="1262" t="s">
        <v>11</v>
      </c>
      <c r="AM10" s="154">
        <f aca="true" t="shared" si="25" ref="AM10:AM19">(B10+N10+Z10)*$AU$102/$AS$102</f>
        <v>3665.2962207107685</v>
      </c>
      <c r="AN10" s="154">
        <f ca="1" t="shared" si="4"/>
        <v>0</v>
      </c>
      <c r="AO10" s="154">
        <f ca="1" t="shared" si="5"/>
        <v>410.63827533255835</v>
      </c>
      <c r="AP10" s="154">
        <f ca="1" t="shared" si="6"/>
        <v>152.87654220342915</v>
      </c>
      <c r="AQ10" s="154">
        <f ca="1" t="shared" si="7"/>
        <v>0</v>
      </c>
      <c r="AR10" s="154">
        <f ca="1" t="shared" si="8"/>
        <v>0</v>
      </c>
      <c r="AS10" s="154">
        <f ca="1" t="shared" si="9"/>
        <v>0</v>
      </c>
      <c r="AT10" s="154">
        <f ca="1" t="shared" si="10"/>
        <v>329.100825168219</v>
      </c>
      <c r="AU10" s="154">
        <f t="shared" si="11"/>
        <v>0</v>
      </c>
      <c r="AV10" s="154">
        <f t="shared" si="12"/>
        <v>0</v>
      </c>
      <c r="AW10" s="894">
        <f ca="1" t="shared" si="13"/>
        <v>4557.9118634149745</v>
      </c>
      <c r="AX10" s="26"/>
      <c r="AY10" s="78" t="s">
        <v>11</v>
      </c>
      <c r="AZ10" s="116">
        <f ca="1" t="shared" si="14"/>
        <v>197045.49363940125</v>
      </c>
      <c r="BA10" s="116">
        <f ca="1" t="shared" si="15"/>
        <v>0</v>
      </c>
      <c r="BB10" s="116">
        <f ca="1" t="shared" si="16"/>
        <v>22075.820560676413</v>
      </c>
      <c r="BC10" s="116">
        <f ca="1" t="shared" si="17"/>
        <v>8218.60824075985</v>
      </c>
      <c r="BD10" s="116">
        <f ca="1" t="shared" si="18"/>
        <v>0</v>
      </c>
      <c r="BE10" s="116">
        <f ca="1" t="shared" si="19"/>
        <v>0</v>
      </c>
      <c r="BF10" s="116">
        <f ca="1" t="shared" si="20"/>
        <v>0</v>
      </c>
      <c r="BG10" s="116">
        <f ca="1" t="shared" si="21"/>
        <v>17692.385730240054</v>
      </c>
      <c r="BH10" s="116">
        <f ca="1" t="shared" si="22"/>
        <v>0</v>
      </c>
      <c r="BI10" s="116">
        <f ca="1" t="shared" si="23"/>
        <v>0</v>
      </c>
      <c r="BJ10" s="894">
        <f ca="1">SUM(AZ10:BI10)</f>
        <v>245032.30817107757</v>
      </c>
      <c r="BK10" s="4">
        <f ca="1" t="shared" si="24"/>
        <v>10.599514636244768</v>
      </c>
      <c r="BL10" s="917" t="s">
        <v>94</v>
      </c>
      <c r="BM10" s="241" t="s">
        <v>95</v>
      </c>
      <c r="BN10" s="932"/>
    </row>
    <row r="11" spans="1:66" ht="12.75">
      <c r="A11" s="48" t="s">
        <v>12</v>
      </c>
      <c r="B11" s="49">
        <f>PMemission!B18*(B69)</f>
        <v>616.6552734375</v>
      </c>
      <c r="C11" s="49">
        <f>PMemission!C18*(C69)</f>
        <v>0</v>
      </c>
      <c r="D11" s="49">
        <f>PMemission!D18*(D69)</f>
        <v>0.558</v>
      </c>
      <c r="E11" s="49">
        <f>PMemission!E18*(E69)</f>
        <v>0</v>
      </c>
      <c r="F11" s="49">
        <f>PMemission!F18*(F69)</f>
        <v>0</v>
      </c>
      <c r="G11" s="49">
        <f>PMemission!G18*(G69)</f>
        <v>0</v>
      </c>
      <c r="H11" s="49">
        <f>PMemission!H18*(H69)</f>
        <v>0</v>
      </c>
      <c r="I11" s="49">
        <f>PMemission!I18*(I69)</f>
        <v>197.64642857142857</v>
      </c>
      <c r="J11" s="49">
        <f>PMemission!J18*(J69)</f>
        <v>0</v>
      </c>
      <c r="K11" s="49">
        <f>PMemission!K18*(K69)</f>
        <v>0</v>
      </c>
      <c r="L11" s="1309">
        <f t="shared" si="1"/>
        <v>814.8597020089286</v>
      </c>
      <c r="M11" s="26"/>
      <c r="N11" s="729">
        <f>PMemission!N18*(N69)</f>
        <v>297.2792297363282</v>
      </c>
      <c r="O11" s="729">
        <f>PMemission!O18*(O69)</f>
        <v>0</v>
      </c>
      <c r="P11" s="729">
        <f>PMemission!P18*(P69)</f>
        <v>50.43796875</v>
      </c>
      <c r="Q11" s="732">
        <f>PMemission!Q18*(Q69)</f>
        <v>0</v>
      </c>
      <c r="R11" s="732">
        <f>PMemission!R18*(R69)</f>
        <v>0</v>
      </c>
      <c r="S11" s="732">
        <f>PMemission!S18*(S69)</f>
        <v>0</v>
      </c>
      <c r="T11" s="732">
        <f>PMemission!T18*(T69)</f>
        <v>0</v>
      </c>
      <c r="U11" s="732">
        <f>PMemission!U18*(U69)</f>
        <v>0</v>
      </c>
      <c r="V11" s="732">
        <f>PMemission!V18*(V69)</f>
        <v>0</v>
      </c>
      <c r="W11" s="732">
        <f>PMemission!W18*(W69)</f>
        <v>0</v>
      </c>
      <c r="X11" s="1311">
        <f t="shared" si="2"/>
        <v>347.7171984863282</v>
      </c>
      <c r="Y11" s="663"/>
      <c r="Z11" s="732">
        <f>PMemission!Z18*(Z69)</f>
        <v>3.3375000000000004</v>
      </c>
      <c r="AA11" s="732">
        <f>PMemission!AA18*(AA69)</f>
        <v>0</v>
      </c>
      <c r="AB11" s="732">
        <f>PMemission!AB18*(AB69)</f>
        <v>0.8370000000000001</v>
      </c>
      <c r="AC11" s="732">
        <f>PMemission!AC18*(AC69)</f>
        <v>40.080000000000005</v>
      </c>
      <c r="AD11" s="732">
        <f>PMemission!AD18*(AD69)</f>
        <v>0</v>
      </c>
      <c r="AE11" s="732">
        <f>PMemission!AE18*(AE69)</f>
        <v>0</v>
      </c>
      <c r="AF11" s="732">
        <f>PMemission!AF18*(AF69)</f>
        <v>0</v>
      </c>
      <c r="AG11" s="732">
        <f>PMemission!AG18*(AG69)</f>
        <v>19.305</v>
      </c>
      <c r="AH11" s="732">
        <f>PMemission!AH18*(AH69)</f>
        <v>0</v>
      </c>
      <c r="AI11" s="732">
        <f>PMemission!AI18*(AI69)</f>
        <v>0</v>
      </c>
      <c r="AJ11" s="1309">
        <f t="shared" si="3"/>
        <v>63.55950000000001</v>
      </c>
      <c r="AK11" s="663"/>
      <c r="AL11" s="1262" t="s">
        <v>12</v>
      </c>
      <c r="AM11" s="154">
        <f ca="1" t="shared" si="25"/>
        <v>885.8770247414168</v>
      </c>
      <c r="AN11" s="154">
        <f ca="1" t="shared" si="4"/>
        <v>0</v>
      </c>
      <c r="AO11" s="154">
        <f ca="1" t="shared" si="5"/>
        <v>50.058909441132464</v>
      </c>
      <c r="AP11" s="154">
        <f ca="1" t="shared" si="6"/>
        <v>38.70820326880446</v>
      </c>
      <c r="AQ11" s="154">
        <f ca="1" t="shared" si="7"/>
        <v>0</v>
      </c>
      <c r="AR11" s="154">
        <f ca="1" t="shared" si="8"/>
        <v>0</v>
      </c>
      <c r="AS11" s="154">
        <f ca="1" t="shared" si="9"/>
        <v>0</v>
      </c>
      <c r="AT11" s="154">
        <f ca="1" t="shared" si="10"/>
        <v>209.52594801897126</v>
      </c>
      <c r="AU11" s="154">
        <f t="shared" si="11"/>
        <v>0</v>
      </c>
      <c r="AV11" s="154">
        <f t="shared" si="12"/>
        <v>0</v>
      </c>
      <c r="AW11" s="894">
        <f ca="1" t="shared" si="13"/>
        <v>1184.170085470325</v>
      </c>
      <c r="AX11" s="26"/>
      <c r="AY11" s="78" t="s">
        <v>12</v>
      </c>
      <c r="AZ11" s="116">
        <f ca="1" t="shared" si="14"/>
        <v>47624.54795812561</v>
      </c>
      <c r="BA11" s="116">
        <f ca="1" t="shared" si="15"/>
        <v>0</v>
      </c>
      <c r="BB11" s="116">
        <f ca="1" t="shared" si="16"/>
        <v>2691.1556196037113</v>
      </c>
      <c r="BC11" s="116">
        <f ca="1" t="shared" si="17"/>
        <v>2080.944229800011</v>
      </c>
      <c r="BD11" s="116">
        <f ca="1" t="shared" si="18"/>
        <v>0</v>
      </c>
      <c r="BE11" s="116">
        <f ca="1" t="shared" si="19"/>
        <v>0</v>
      </c>
      <c r="BF11" s="116">
        <f ca="1" t="shared" si="20"/>
        <v>0</v>
      </c>
      <c r="BG11" s="116">
        <f ca="1" t="shared" si="21"/>
        <v>11264.06745091276</v>
      </c>
      <c r="BH11" s="116">
        <f ca="1" t="shared" si="22"/>
        <v>0</v>
      </c>
      <c r="BI11" s="116">
        <f ca="1" t="shared" si="23"/>
        <v>0</v>
      </c>
      <c r="BJ11" s="894">
        <f ca="1">SUM(AZ11:BI11)</f>
        <v>63660.7152584421</v>
      </c>
      <c r="BK11" s="4">
        <f ca="1" t="shared" si="24"/>
        <v>2.7538110715773545</v>
      </c>
      <c r="BL11" s="917" t="s">
        <v>94</v>
      </c>
      <c r="BM11" s="241" t="s">
        <v>95</v>
      </c>
      <c r="BN11" s="932"/>
    </row>
    <row r="12" spans="1:67" ht="12.75">
      <c r="A12" s="247" t="s">
        <v>229</v>
      </c>
      <c r="B12" s="49">
        <f>PMemission!B19*(B70)</f>
        <v>2354.8009375</v>
      </c>
      <c r="C12" s="49">
        <f>PMemission!C19*(C70)</f>
        <v>0</v>
      </c>
      <c r="D12" s="49">
        <f>PMemission!D19*(D70)</f>
        <v>0.88288</v>
      </c>
      <c r="E12" s="49">
        <f>PMemission!E19*(E70)</f>
        <v>0</v>
      </c>
      <c r="F12" s="49">
        <f>PMemission!F19*(F70)</f>
        <v>0</v>
      </c>
      <c r="G12" s="49">
        <f>PMemission!G19*(G70)</f>
        <v>0</v>
      </c>
      <c r="H12" s="49">
        <f>PMemission!H19*(H70)</f>
        <v>0</v>
      </c>
      <c r="I12" s="49">
        <f>PMemission!I19*(I70)</f>
        <v>0</v>
      </c>
      <c r="J12" s="49"/>
      <c r="K12" s="49"/>
      <c r="L12" s="1309">
        <f t="shared" si="1"/>
        <v>2355.6838175000003</v>
      </c>
      <c r="M12" s="26"/>
      <c r="N12" s="729">
        <f>PMemission!N19*(N70)</f>
        <v>956.6378808593752</v>
      </c>
      <c r="O12" s="729">
        <f>PMemission!O19*(O70)</f>
        <v>0</v>
      </c>
      <c r="P12" s="729">
        <f>PMemission!P19*(P70)</f>
        <v>33.6253125</v>
      </c>
      <c r="Q12" s="732">
        <f>PMemission!Q19*(Q70)</f>
        <v>0</v>
      </c>
      <c r="R12" s="732">
        <f>PMemission!R19*(R70)</f>
        <v>0</v>
      </c>
      <c r="S12" s="732">
        <f>PMemission!S19*(S70)</f>
        <v>0</v>
      </c>
      <c r="T12" s="732">
        <f>PMemission!T19*(T70)</f>
        <v>0</v>
      </c>
      <c r="U12" s="732">
        <f>PMemission!U19*(U70)</f>
        <v>0</v>
      </c>
      <c r="V12" s="732"/>
      <c r="W12" s="732"/>
      <c r="X12" s="1309">
        <f t="shared" si="2"/>
        <v>990.2631933593751</v>
      </c>
      <c r="Y12" s="663"/>
      <c r="Z12" s="732">
        <f>PMemission!Z19*(Z70)</f>
        <v>38.2344</v>
      </c>
      <c r="AA12" s="732">
        <f>PMemission!AA19*(AA70)</f>
        <v>0</v>
      </c>
      <c r="AB12" s="732">
        <f>PMemission!AB19*(AB70)</f>
        <v>0</v>
      </c>
      <c r="AC12" s="732">
        <f>PMemission!AC19*(AC70)</f>
        <v>0</v>
      </c>
      <c r="AD12" s="732">
        <f>PMemission!AD19*(AD70)</f>
        <v>0</v>
      </c>
      <c r="AE12" s="732">
        <f>PMemission!AE19*(AE70)</f>
        <v>0</v>
      </c>
      <c r="AF12" s="732">
        <f>PMemission!AF19*(AF70)</f>
        <v>0</v>
      </c>
      <c r="AG12" s="732">
        <f>PMemission!AG19*(AG70)</f>
        <v>0</v>
      </c>
      <c r="AH12" s="732"/>
      <c r="AI12" s="732"/>
      <c r="AJ12" s="1309">
        <f t="shared" si="3"/>
        <v>38.2344</v>
      </c>
      <c r="AK12" s="663"/>
      <c r="AL12" s="1262" t="s">
        <v>229</v>
      </c>
      <c r="AM12" s="154">
        <f ca="1" t="shared" si="25"/>
        <v>3235.0257440200876</v>
      </c>
      <c r="AN12" s="154">
        <f ca="1" t="shared" si="4"/>
        <v>0</v>
      </c>
      <c r="AO12" s="154">
        <f ca="1" t="shared" si="5"/>
        <v>33.32709904513556</v>
      </c>
      <c r="AP12" s="154">
        <f ca="1" t="shared" si="6"/>
        <v>0</v>
      </c>
      <c r="AQ12" s="154">
        <f ca="1" t="shared" si="7"/>
        <v>0</v>
      </c>
      <c r="AR12" s="154">
        <f ca="1" t="shared" si="8"/>
        <v>0</v>
      </c>
      <c r="AS12" s="154">
        <f ca="1" t="shared" si="9"/>
        <v>0</v>
      </c>
      <c r="AT12" s="154">
        <f ca="1" t="shared" si="10"/>
        <v>0</v>
      </c>
      <c r="AU12" s="154">
        <f t="shared" si="11"/>
        <v>0</v>
      </c>
      <c r="AV12" s="154">
        <f t="shared" si="12"/>
        <v>0</v>
      </c>
      <c r="AW12" s="1308">
        <f aca="true" t="shared" si="26" ref="AW12">SUM(AM12:AV12)</f>
        <v>3268.352843065223</v>
      </c>
      <c r="AX12" s="26"/>
      <c r="AY12" s="78" t="s">
        <v>229</v>
      </c>
      <c r="AZ12" s="116">
        <f ca="1" t="shared" si="14"/>
        <v>173914.2503857428</v>
      </c>
      <c r="BA12" s="116">
        <f ca="1" t="shared" si="15"/>
        <v>0</v>
      </c>
      <c r="BB12" s="116">
        <f ca="1" t="shared" si="16"/>
        <v>1791.6572870185375</v>
      </c>
      <c r="BC12" s="116">
        <f ca="1" t="shared" si="17"/>
        <v>0</v>
      </c>
      <c r="BD12" s="116">
        <f ca="1" t="shared" si="18"/>
        <v>0</v>
      </c>
      <c r="BE12" s="116">
        <f ca="1" t="shared" si="19"/>
        <v>0</v>
      </c>
      <c r="BF12" s="116">
        <f ca="1" t="shared" si="20"/>
        <v>0</v>
      </c>
      <c r="BG12" s="116">
        <f ca="1" t="shared" si="21"/>
        <v>0</v>
      </c>
      <c r="BH12" s="116">
        <f ca="1" t="shared" si="22"/>
        <v>0</v>
      </c>
      <c r="BI12" s="116">
        <f ca="1" t="shared" si="23"/>
        <v>0</v>
      </c>
      <c r="BJ12" s="117"/>
      <c r="BK12" s="4">
        <f ca="1" t="shared" si="24"/>
        <v>0</v>
      </c>
      <c r="BL12" s="141"/>
      <c r="BM12" s="936"/>
      <c r="BN12" s="937"/>
      <c r="BO12" s="94"/>
    </row>
    <row r="13" spans="1:66" ht="12.75">
      <c r="A13" s="212" t="s">
        <v>14</v>
      </c>
      <c r="B13" s="49">
        <f>PMemission!B20*(B71)</f>
        <v>34.55117187500001</v>
      </c>
      <c r="C13" s="49">
        <f>PMemission!C20*(C71)</f>
        <v>0</v>
      </c>
      <c r="D13" s="49">
        <f>PMemission!D20*(D71)</f>
        <v>0.088</v>
      </c>
      <c r="E13" s="49">
        <f>PMemission!E20*(E71)</f>
        <v>0</v>
      </c>
      <c r="F13" s="49">
        <f>PMemission!F20*(F71)</f>
        <v>0</v>
      </c>
      <c r="G13" s="49">
        <f>PMemission!G20*(G71)</f>
        <v>0</v>
      </c>
      <c r="H13" s="49">
        <f>PMemission!H20*(H71)</f>
        <v>0</v>
      </c>
      <c r="I13" s="49">
        <f>PMemission!I20*(I71)</f>
        <v>0.3378571428571429</v>
      </c>
      <c r="J13" s="49">
        <f>PMemission!J20*(J71)</f>
        <v>0</v>
      </c>
      <c r="K13" s="49">
        <f>PMemission!K20*(K71)</f>
        <v>0</v>
      </c>
      <c r="L13" s="1309">
        <f t="shared" si="1"/>
        <v>34.977029017857156</v>
      </c>
      <c r="M13" s="26"/>
      <c r="N13" s="729">
        <f>PMemission!N20*(N71)</f>
        <v>2.2713469238281254</v>
      </c>
      <c r="O13" s="729">
        <f>PMemission!O20*(O71)</f>
        <v>0</v>
      </c>
      <c r="P13" s="729">
        <f>PMemission!P20*(P71)</f>
        <v>10.846875</v>
      </c>
      <c r="Q13" s="732">
        <f>PMemission!Q20*(Q71)</f>
        <v>0</v>
      </c>
      <c r="R13" s="732">
        <f>PMemission!R20*(R71)</f>
        <v>0</v>
      </c>
      <c r="S13" s="732">
        <f>PMemission!S20*(S71)</f>
        <v>0</v>
      </c>
      <c r="T13" s="732">
        <f>PMemission!T20*(T71)</f>
        <v>0</v>
      </c>
      <c r="U13" s="732">
        <f>PMemission!U20*(U71)</f>
        <v>0</v>
      </c>
      <c r="V13" s="732">
        <f>PMemission!V20*(V71)</f>
        <v>0</v>
      </c>
      <c r="W13" s="732">
        <f>PMemission!W20*(W71)</f>
        <v>0</v>
      </c>
      <c r="X13" s="1311">
        <f t="shared" si="2"/>
        <v>13.118221923828127</v>
      </c>
      <c r="Y13" s="663"/>
      <c r="Z13" s="732">
        <f>PMemission!Z20*(Z71)</f>
        <v>0.561</v>
      </c>
      <c r="AA13" s="732">
        <f>PMemission!AA20*(AA71)</f>
        <v>0</v>
      </c>
      <c r="AB13" s="732">
        <f>PMemission!AB20*(AB71)</f>
        <v>0</v>
      </c>
      <c r="AC13" s="732">
        <f>PMemission!AC20*(AC71)</f>
        <v>0</v>
      </c>
      <c r="AD13" s="732">
        <f>PMemission!AD20*(AD71)</f>
        <v>0</v>
      </c>
      <c r="AE13" s="732">
        <f>PMemission!AE20*(AE71)</f>
        <v>0</v>
      </c>
      <c r="AF13" s="732">
        <f>PMemission!AF20*(AF71)</f>
        <v>0</v>
      </c>
      <c r="AG13" s="732">
        <f>PMemission!AG20*(AG71)</f>
        <v>0</v>
      </c>
      <c r="AH13" s="732">
        <f>PMemission!AH20*(AH71)</f>
        <v>0</v>
      </c>
      <c r="AI13" s="732">
        <f>PMemission!AI20*(AI71)</f>
        <v>0</v>
      </c>
      <c r="AJ13" s="1309">
        <f t="shared" si="3"/>
        <v>0.561</v>
      </c>
      <c r="AK13" s="663"/>
      <c r="AL13" s="1262" t="s">
        <v>14</v>
      </c>
      <c r="AM13" s="154">
        <f ca="1" t="shared" si="25"/>
        <v>36.10401308802924</v>
      </c>
      <c r="AN13" s="154">
        <f ca="1" t="shared" si="4"/>
        <v>0</v>
      </c>
      <c r="AO13" s="154">
        <f ca="1" t="shared" si="5"/>
        <v>10.560612879714773</v>
      </c>
      <c r="AP13" s="154">
        <f ca="1" t="shared" si="6"/>
        <v>0</v>
      </c>
      <c r="AQ13" s="154">
        <f ca="1" t="shared" si="7"/>
        <v>0</v>
      </c>
      <c r="AR13" s="154">
        <f ca="1" t="shared" si="8"/>
        <v>0</v>
      </c>
      <c r="AS13" s="154">
        <f ca="1" t="shared" si="9"/>
        <v>0</v>
      </c>
      <c r="AT13" s="154">
        <f ca="1" t="shared" si="10"/>
        <v>0.3262934870641665</v>
      </c>
      <c r="AU13" s="154">
        <f t="shared" si="11"/>
        <v>0</v>
      </c>
      <c r="AV13" s="154">
        <f t="shared" si="12"/>
        <v>0</v>
      </c>
      <c r="AW13" s="117">
        <f ca="1" t="shared" si="13"/>
        <v>46.99091945480818</v>
      </c>
      <c r="AX13" s="26"/>
      <c r="AY13" s="78" t="s">
        <v>14</v>
      </c>
      <c r="AZ13" s="116">
        <f ca="1" t="shared" si="14"/>
        <v>1940.9435562385634</v>
      </c>
      <c r="BA13" s="116">
        <f ca="1" t="shared" si="15"/>
        <v>0</v>
      </c>
      <c r="BB13" s="116">
        <f ca="1" t="shared" si="16"/>
        <v>567.7361535637322</v>
      </c>
      <c r="BC13" s="116">
        <f ca="1" t="shared" si="17"/>
        <v>0</v>
      </c>
      <c r="BD13" s="116">
        <f ca="1" t="shared" si="18"/>
        <v>0</v>
      </c>
      <c r="BE13" s="116">
        <f ca="1" t="shared" si="19"/>
        <v>0</v>
      </c>
      <c r="BF13" s="116">
        <f ca="1" t="shared" si="20"/>
        <v>0</v>
      </c>
      <c r="BG13" s="116">
        <f ca="1" t="shared" si="21"/>
        <v>17.54146387039145</v>
      </c>
      <c r="BH13" s="116">
        <f ca="1" t="shared" si="22"/>
        <v>0</v>
      </c>
      <c r="BI13" s="116">
        <f ca="1" t="shared" si="23"/>
        <v>0</v>
      </c>
      <c r="BJ13" s="117">
        <f ca="1">SUM(AZ13:BI13)</f>
        <v>2526.2211736726867</v>
      </c>
      <c r="BK13" s="4">
        <f ca="1" t="shared" si="24"/>
        <v>0.10927831723333403</v>
      </c>
      <c r="BL13" s="4" t="s">
        <v>94</v>
      </c>
      <c r="BM13" s="142"/>
      <c r="BN13" s="91"/>
    </row>
    <row r="14" spans="1:66" ht="12.75">
      <c r="A14" s="247" t="s">
        <v>232</v>
      </c>
      <c r="B14" s="49">
        <f>PMemission!B21*(B72)</f>
        <v>0</v>
      </c>
      <c r="C14" s="49">
        <f>PMemission!C21*(C72)</f>
        <v>0</v>
      </c>
      <c r="D14" s="49">
        <f>PMemission!D21*(D72)</f>
        <v>2.082599999999968</v>
      </c>
      <c r="E14" s="49">
        <f>PMemission!E21*(E72)</f>
        <v>0</v>
      </c>
      <c r="F14" s="49">
        <f>PMemission!F21*(F72)</f>
        <v>0</v>
      </c>
      <c r="G14" s="49">
        <f>PMemission!G21*(G72)</f>
        <v>0</v>
      </c>
      <c r="H14" s="49">
        <f>PMemission!H21*(H72)</f>
        <v>0</v>
      </c>
      <c r="I14" s="49">
        <f>PMemission!I21*(I72)</f>
        <v>0</v>
      </c>
      <c r="J14" s="49">
        <f>PMemission!J21*(J72)</f>
        <v>0</v>
      </c>
      <c r="K14" s="49">
        <f>PMemission!K21*(K72)</f>
        <v>0</v>
      </c>
      <c r="L14" s="1309">
        <f t="shared" si="1"/>
        <v>2.082599999999968</v>
      </c>
      <c r="M14" s="26"/>
      <c r="N14" s="729">
        <f>PMemission!N21*(N72)</f>
        <v>0</v>
      </c>
      <c r="O14" s="729">
        <f>PMemission!O21*(O72)</f>
        <v>0</v>
      </c>
      <c r="P14" s="729">
        <f>PMemission!P21*(P72)</f>
        <v>31.727109374999507</v>
      </c>
      <c r="Q14" s="732">
        <f>PMemission!Q21*(Q72)</f>
        <v>0</v>
      </c>
      <c r="R14" s="732">
        <f>PMemission!R21*(R72)</f>
        <v>0</v>
      </c>
      <c r="S14" s="732">
        <f>PMemission!S21*(S72)</f>
        <v>0</v>
      </c>
      <c r="T14" s="732">
        <f>PMemission!T21*(T72)</f>
        <v>0</v>
      </c>
      <c r="U14" s="732">
        <f>PMemission!U21*(U72)</f>
        <v>0</v>
      </c>
      <c r="V14" s="732">
        <f>PMemission!V21*(V72)</f>
        <v>0</v>
      </c>
      <c r="W14" s="732">
        <f>PMemission!W21*(W72)</f>
        <v>0</v>
      </c>
      <c r="X14" s="1311">
        <f t="shared" si="2"/>
        <v>31.727109374999507</v>
      </c>
      <c r="Y14" s="663"/>
      <c r="Z14" s="732">
        <f>PMemission!Z21*(Z72)</f>
        <v>0</v>
      </c>
      <c r="AA14" s="732">
        <f>PMemission!AA21*(AA72)</f>
        <v>0</v>
      </c>
      <c r="AB14" s="732">
        <f>PMemission!AB21*(AB72)</f>
        <v>1.041299999999984</v>
      </c>
      <c r="AC14" s="732">
        <f>PMemission!AC21*(AC72)</f>
        <v>0</v>
      </c>
      <c r="AD14" s="732">
        <f>PMemission!AD21*(AD72)</f>
        <v>0</v>
      </c>
      <c r="AE14" s="732">
        <f>PMemission!AE21*(AE72)</f>
        <v>0</v>
      </c>
      <c r="AF14" s="732">
        <f>PMemission!AF21*(AF72)</f>
        <v>0</v>
      </c>
      <c r="AG14" s="732">
        <f>PMemission!AG21*(AG72)</f>
        <v>0</v>
      </c>
      <c r="AH14" s="732">
        <f>PMemission!AH21*(AH72)</f>
        <v>0</v>
      </c>
      <c r="AI14" s="732">
        <f>PMemission!AI21*(AI72)</f>
        <v>0</v>
      </c>
      <c r="AJ14" s="1309">
        <f t="shared" si="3"/>
        <v>1.041299999999984</v>
      </c>
      <c r="AK14" s="663"/>
      <c r="AL14" s="1262" t="s">
        <v>232</v>
      </c>
      <c r="AM14" s="154">
        <f ca="1" t="shared" si="25"/>
        <v>0</v>
      </c>
      <c r="AN14" s="154">
        <f ca="1" t="shared" si="4"/>
        <v>0</v>
      </c>
      <c r="AO14" s="154">
        <f ca="1" t="shared" si="5"/>
        <v>33.65818251024174</v>
      </c>
      <c r="AP14" s="154">
        <f ca="1" t="shared" si="6"/>
        <v>0</v>
      </c>
      <c r="AQ14" s="154">
        <f ca="1" t="shared" si="7"/>
        <v>0</v>
      </c>
      <c r="AR14" s="154">
        <f ca="1" t="shared" si="8"/>
        <v>0</v>
      </c>
      <c r="AS14" s="154">
        <f ca="1" t="shared" si="9"/>
        <v>0</v>
      </c>
      <c r="AT14" s="154">
        <f ca="1" t="shared" si="10"/>
        <v>0</v>
      </c>
      <c r="AU14" s="154">
        <f t="shared" si="11"/>
        <v>0</v>
      </c>
      <c r="AV14" s="154">
        <f t="shared" si="12"/>
        <v>0</v>
      </c>
      <c r="AW14" s="117">
        <f ca="1" t="shared" si="13"/>
        <v>33.65818251024174</v>
      </c>
      <c r="AX14" s="26"/>
      <c r="AY14" s="78" t="s">
        <v>232</v>
      </c>
      <c r="AZ14" s="116">
        <f ca="1" t="shared" si="14"/>
        <v>0</v>
      </c>
      <c r="BA14" s="116">
        <f ca="1" t="shared" si="15"/>
        <v>0</v>
      </c>
      <c r="BB14" s="116">
        <f ca="1" t="shared" si="16"/>
        <v>1809.4562590222351</v>
      </c>
      <c r="BC14" s="116">
        <f ca="1" t="shared" si="17"/>
        <v>0</v>
      </c>
      <c r="BD14" s="116">
        <f ca="1" t="shared" si="18"/>
        <v>0</v>
      </c>
      <c r="BE14" s="116">
        <f ca="1" t="shared" si="19"/>
        <v>0</v>
      </c>
      <c r="BF14" s="116">
        <f ca="1" t="shared" si="20"/>
        <v>0</v>
      </c>
      <c r="BG14" s="116">
        <f ca="1" t="shared" si="21"/>
        <v>0</v>
      </c>
      <c r="BH14" s="116">
        <f ca="1" t="shared" si="22"/>
        <v>0</v>
      </c>
      <c r="BI14" s="116">
        <f ca="1" t="shared" si="23"/>
        <v>0</v>
      </c>
      <c r="BJ14" s="117">
        <f ca="1">SUM(AZ14:BI14)</f>
        <v>1809.4562590222351</v>
      </c>
      <c r="BK14" s="4">
        <f ca="1" t="shared" si="24"/>
        <v>0.0782727724531745</v>
      </c>
      <c r="BL14" s="4" t="s">
        <v>94</v>
      </c>
      <c r="BM14" s="142"/>
      <c r="BN14" s="91"/>
    </row>
    <row r="15" spans="1:66" ht="12.75">
      <c r="A15" s="212" t="s">
        <v>233</v>
      </c>
      <c r="B15" s="49">
        <f>PMemission!B22*(B73)</f>
        <v>0</v>
      </c>
      <c r="C15" s="49">
        <f>PMemission!C22*(C73)</f>
        <v>0</v>
      </c>
      <c r="D15" s="49">
        <f>PMemission!D22*(D73)</f>
        <v>0.02819999999999993</v>
      </c>
      <c r="E15" s="49">
        <f>PMemission!E22*(E73)</f>
        <v>0</v>
      </c>
      <c r="F15" s="49">
        <f>PMemission!F22*(F73)</f>
        <v>0</v>
      </c>
      <c r="G15" s="49">
        <f>PMemission!G22*(G73)</f>
        <v>0</v>
      </c>
      <c r="H15" s="49">
        <f>PMemission!H22*(H73)</f>
        <v>0</v>
      </c>
      <c r="I15" s="49">
        <f>PMemission!I22*(I73)</f>
        <v>0</v>
      </c>
      <c r="J15" s="49"/>
      <c r="K15" s="49"/>
      <c r="L15" s="1309">
        <f t="shared" si="1"/>
        <v>0.02819999999999993</v>
      </c>
      <c r="M15" s="26"/>
      <c r="N15" s="729">
        <f>PMemission!N22*(N73)</f>
        <v>0</v>
      </c>
      <c r="O15" s="729">
        <f>PMemission!O22*(O73)</f>
        <v>0</v>
      </c>
      <c r="P15" s="729">
        <f>PMemission!P22*(P73)</f>
        <v>2.549015624999994</v>
      </c>
      <c r="Q15" s="732">
        <f>PMemission!Q22*(Q73)</f>
        <v>0</v>
      </c>
      <c r="R15" s="732">
        <f>PMemission!R22*(R73)</f>
        <v>0</v>
      </c>
      <c r="S15" s="732">
        <f>PMemission!S22*(S73)</f>
        <v>0</v>
      </c>
      <c r="T15" s="732">
        <f>PMemission!T22*(T73)</f>
        <v>0</v>
      </c>
      <c r="U15" s="732">
        <f>PMemission!U22*(U73)</f>
        <v>0</v>
      </c>
      <c r="V15" s="732"/>
      <c r="W15" s="732"/>
      <c r="X15" s="1309">
        <f t="shared" si="2"/>
        <v>2.549015624999994</v>
      </c>
      <c r="Y15" s="663"/>
      <c r="Z15" s="732">
        <f>PMemission!Z22*(Z73)</f>
        <v>0</v>
      </c>
      <c r="AA15" s="732">
        <f>PMemission!AA22*(AA73)</f>
        <v>0</v>
      </c>
      <c r="AB15" s="732">
        <f>PMemission!AB22*(AB73)</f>
        <v>0</v>
      </c>
      <c r="AC15" s="732">
        <f>PMemission!AC22*(AC73)</f>
        <v>0</v>
      </c>
      <c r="AD15" s="732">
        <f>PMemission!AD22*(AD73)</f>
        <v>0</v>
      </c>
      <c r="AE15" s="732">
        <f>PMemission!AE22*(AE73)</f>
        <v>0</v>
      </c>
      <c r="AF15" s="732">
        <f>PMemission!AF22*(AF73)</f>
        <v>0</v>
      </c>
      <c r="AG15" s="732">
        <f>PMemission!AG22*(AG73)</f>
        <v>0</v>
      </c>
      <c r="AH15" s="732"/>
      <c r="AI15" s="732"/>
      <c r="AJ15" s="1309">
        <f t="shared" si="3"/>
        <v>0</v>
      </c>
      <c r="AK15" s="663"/>
      <c r="AL15" s="1262" t="s">
        <v>233</v>
      </c>
      <c r="AM15" s="154">
        <f ca="1" t="shared" si="25"/>
        <v>0</v>
      </c>
      <c r="AN15" s="154">
        <f ca="1" t="shared" si="4"/>
        <v>0</v>
      </c>
      <c r="AO15" s="154">
        <f ca="1" t="shared" si="5"/>
        <v>2.48900664371354</v>
      </c>
      <c r="AP15" s="154">
        <f ca="1" t="shared" si="6"/>
        <v>0</v>
      </c>
      <c r="AQ15" s="154">
        <f ca="1" t="shared" si="7"/>
        <v>0</v>
      </c>
      <c r="AR15" s="154">
        <f ca="1" t="shared" si="8"/>
        <v>0</v>
      </c>
      <c r="AS15" s="154">
        <f ca="1" t="shared" si="9"/>
        <v>0</v>
      </c>
      <c r="AT15" s="154">
        <f ca="1" t="shared" si="10"/>
        <v>0</v>
      </c>
      <c r="AU15" s="154">
        <f t="shared" si="11"/>
        <v>0</v>
      </c>
      <c r="AV15" s="154">
        <f t="shared" si="12"/>
        <v>0</v>
      </c>
      <c r="AW15" s="1308">
        <f aca="true" t="shared" si="27" ref="AW15">SUM(AM15:AV15)</f>
        <v>2.48900664371354</v>
      </c>
      <c r="AX15" s="26"/>
      <c r="AY15" s="78" t="s">
        <v>233</v>
      </c>
      <c r="AZ15" s="116">
        <f ca="1" t="shared" si="14"/>
        <v>0</v>
      </c>
      <c r="BA15" s="116">
        <f ca="1" t="shared" si="15"/>
        <v>0</v>
      </c>
      <c r="BB15" s="116">
        <f ca="1" t="shared" si="16"/>
        <v>133.80843272939532</v>
      </c>
      <c r="BC15" s="116">
        <f ca="1" t="shared" si="17"/>
        <v>0</v>
      </c>
      <c r="BD15" s="116">
        <f ca="1" t="shared" si="18"/>
        <v>0</v>
      </c>
      <c r="BE15" s="116">
        <f ca="1" t="shared" si="19"/>
        <v>0</v>
      </c>
      <c r="BF15" s="116">
        <f ca="1" t="shared" si="20"/>
        <v>0</v>
      </c>
      <c r="BG15" s="116">
        <f ca="1" t="shared" si="21"/>
        <v>0</v>
      </c>
      <c r="BH15" s="116">
        <f ca="1" t="shared" si="22"/>
        <v>0</v>
      </c>
      <c r="BI15" s="116">
        <f ca="1" t="shared" si="23"/>
        <v>0</v>
      </c>
      <c r="BJ15" s="117"/>
      <c r="BK15" s="4">
        <f ca="1" t="shared" si="24"/>
        <v>0</v>
      </c>
      <c r="BL15" s="4"/>
      <c r="BM15" s="142"/>
      <c r="BN15" s="91"/>
    </row>
    <row r="16" spans="1:66" ht="12.75">
      <c r="A16" s="212" t="s">
        <v>231</v>
      </c>
      <c r="B16" s="49">
        <f>PMemission!B23*(B74)</f>
        <v>458.7915234375</v>
      </c>
      <c r="C16" s="49">
        <f>PMemission!C23*(C74)</f>
        <v>0</v>
      </c>
      <c r="D16" s="49">
        <f>PMemission!D23*(D74)</f>
        <v>0</v>
      </c>
      <c r="E16" s="49">
        <f>PMemission!E23*(E74)</f>
        <v>0</v>
      </c>
      <c r="F16" s="49">
        <f>PMemission!F23*(F74)</f>
        <v>0</v>
      </c>
      <c r="G16" s="49">
        <f>PMemission!G23*(G74)</f>
        <v>0</v>
      </c>
      <c r="H16" s="49">
        <f>PMemission!H23*(H74)</f>
        <v>0</v>
      </c>
      <c r="I16" s="49">
        <f>PMemission!I23*(I74)</f>
        <v>0</v>
      </c>
      <c r="J16" s="49">
        <f>PMemission!J23*(J73)</f>
        <v>0</v>
      </c>
      <c r="K16" s="49">
        <f>PMemission!K23*(K73)</f>
        <v>0</v>
      </c>
      <c r="L16" s="1309">
        <f t="shared" si="1"/>
        <v>458.7915234375</v>
      </c>
      <c r="M16" s="26"/>
      <c r="N16" s="729">
        <f>PMemission!N23*(N73)</f>
        <v>186.3840563964844</v>
      </c>
      <c r="O16" s="729">
        <f>PMemission!O23*(O73)</f>
        <v>0</v>
      </c>
      <c r="P16" s="729">
        <f>PMemission!P23*(P73)</f>
        <v>0</v>
      </c>
      <c r="Q16" s="732">
        <f>PMemission!Q23*(Q73)</f>
        <v>0</v>
      </c>
      <c r="R16" s="732">
        <f>PMemission!R23*(R73)</f>
        <v>0</v>
      </c>
      <c r="S16" s="732">
        <f>PMemission!S23*(S73)</f>
        <v>0</v>
      </c>
      <c r="T16" s="732">
        <f>PMemission!T23*(T73)</f>
        <v>0</v>
      </c>
      <c r="U16" s="732">
        <f>PMemission!U23*(U73)</f>
        <v>0</v>
      </c>
      <c r="V16" s="732">
        <f>PMemission!V23*(V73)</f>
        <v>0</v>
      </c>
      <c r="W16" s="732">
        <f>PMemission!W23*(W73)</f>
        <v>0</v>
      </c>
      <c r="X16" s="1311">
        <f t="shared" si="2"/>
        <v>186.3840563964844</v>
      </c>
      <c r="Y16" s="663"/>
      <c r="Z16" s="732">
        <f>PMemission!Z23*(Z73)</f>
        <v>2.511</v>
      </c>
      <c r="AA16" s="732">
        <f>PMemission!AA23*(AA73)</f>
        <v>0</v>
      </c>
      <c r="AB16" s="732">
        <f>PMemission!AB23*(AB73)</f>
        <v>0</v>
      </c>
      <c r="AC16" s="732">
        <f>PMemission!AC23*(AC73)</f>
        <v>0</v>
      </c>
      <c r="AD16" s="732">
        <f>PMemission!AD23*(AD73)</f>
        <v>0</v>
      </c>
      <c r="AE16" s="732">
        <f>PMemission!AE23*(AE73)</f>
        <v>0</v>
      </c>
      <c r="AF16" s="732">
        <f>PMemission!AF23*(AF73)</f>
        <v>0</v>
      </c>
      <c r="AG16" s="732">
        <f>PMemission!AG23*(AG73)</f>
        <v>0</v>
      </c>
      <c r="AH16" s="732">
        <f>PMemission!AH23*(AH73)</f>
        <v>0</v>
      </c>
      <c r="AI16" s="732">
        <f>PMemission!AI23*(AI73)</f>
        <v>0</v>
      </c>
      <c r="AJ16" s="1309">
        <f t="shared" si="3"/>
        <v>2.511</v>
      </c>
      <c r="AK16" s="663"/>
      <c r="AL16" s="1262" t="s">
        <v>231</v>
      </c>
      <c r="AM16" s="154">
        <f ca="1" t="shared" si="25"/>
        <v>625.5185575521609</v>
      </c>
      <c r="AN16" s="154">
        <f ca="1" t="shared" si="4"/>
        <v>0</v>
      </c>
      <c r="AO16" s="154">
        <f ca="1" t="shared" si="5"/>
        <v>0</v>
      </c>
      <c r="AP16" s="154">
        <f ca="1" t="shared" si="6"/>
        <v>0</v>
      </c>
      <c r="AQ16" s="154">
        <f ca="1" t="shared" si="7"/>
        <v>0</v>
      </c>
      <c r="AR16" s="154">
        <f ca="1" t="shared" si="8"/>
        <v>0</v>
      </c>
      <c r="AS16" s="154">
        <f ca="1" t="shared" si="9"/>
        <v>0</v>
      </c>
      <c r="AT16" s="154">
        <f ca="1" t="shared" si="10"/>
        <v>0</v>
      </c>
      <c r="AU16" s="154">
        <f t="shared" si="11"/>
        <v>0</v>
      </c>
      <c r="AV16" s="154">
        <f t="shared" si="12"/>
        <v>0</v>
      </c>
      <c r="AW16" s="117">
        <f ca="1" t="shared" si="13"/>
        <v>625.5185575521609</v>
      </c>
      <c r="AX16" s="26"/>
      <c r="AY16" s="78" t="s">
        <v>231</v>
      </c>
      <c r="AZ16" s="116">
        <f ca="1" t="shared" si="14"/>
        <v>33627.73580400283</v>
      </c>
      <c r="BA16" s="116">
        <f ca="1" t="shared" si="15"/>
        <v>0</v>
      </c>
      <c r="BB16" s="116">
        <f ca="1" t="shared" si="16"/>
        <v>0</v>
      </c>
      <c r="BC16" s="116">
        <f ca="1" t="shared" si="17"/>
        <v>0</v>
      </c>
      <c r="BD16" s="116">
        <f ca="1" t="shared" si="18"/>
        <v>0</v>
      </c>
      <c r="BE16" s="116">
        <f ca="1" t="shared" si="19"/>
        <v>0</v>
      </c>
      <c r="BF16" s="116">
        <f ca="1" t="shared" si="20"/>
        <v>0</v>
      </c>
      <c r="BG16" s="116">
        <f ca="1" t="shared" si="21"/>
        <v>0</v>
      </c>
      <c r="BH16" s="116">
        <f ca="1" t="shared" si="22"/>
        <v>0</v>
      </c>
      <c r="BI16" s="116">
        <f ca="1" t="shared" si="23"/>
        <v>0</v>
      </c>
      <c r="BJ16" s="117">
        <f ca="1">SUM(AZ16:BI16)</f>
        <v>33627.73580400283</v>
      </c>
      <c r="BK16" s="4">
        <f ca="1" t="shared" si="24"/>
        <v>1.4546558390554816</v>
      </c>
      <c r="BL16" s="4" t="s">
        <v>94</v>
      </c>
      <c r="BM16" s="142"/>
      <c r="BN16" s="91"/>
    </row>
    <row r="17" spans="1:66" ht="12.75">
      <c r="A17" s="48" t="s">
        <v>17</v>
      </c>
      <c r="B17" s="49">
        <f>PMemission!B24*(B75)</f>
        <v>78.52539062499997</v>
      </c>
      <c r="C17" s="49">
        <f>PMemission!C24*(C75)</f>
        <v>0</v>
      </c>
      <c r="D17" s="49">
        <f>PMemission!D24*(D75)</f>
        <v>0</v>
      </c>
      <c r="E17" s="49">
        <f>PMemission!E24*(E75)</f>
        <v>0</v>
      </c>
      <c r="F17" s="49">
        <f>PMemission!F24*(F75)</f>
        <v>0</v>
      </c>
      <c r="G17" s="49">
        <f>PMemission!G24*(G75)</f>
        <v>0</v>
      </c>
      <c r="H17" s="49">
        <f>PMemission!H24*(H75)</f>
        <v>0</v>
      </c>
      <c r="I17" s="49">
        <f>PMemission!I24*(I75)</f>
        <v>0</v>
      </c>
      <c r="J17" s="49">
        <f>PMemission!J24*(J75)</f>
        <v>0</v>
      </c>
      <c r="K17" s="49">
        <f>PMemission!K24*(K75)</f>
        <v>0</v>
      </c>
      <c r="L17" s="1309">
        <f t="shared" si="1"/>
        <v>78.52539062499997</v>
      </c>
      <c r="M17" s="26"/>
      <c r="N17" s="729">
        <f>PMemission!N24*(N75)</f>
        <v>16.70108032226562</v>
      </c>
      <c r="O17" s="729">
        <f>PMemission!O24*(O75)</f>
        <v>0</v>
      </c>
      <c r="P17" s="729">
        <f>PMemission!P24*(P75)</f>
        <v>0</v>
      </c>
      <c r="Q17" s="732">
        <f>PMemission!Q24*(Q75)</f>
        <v>0</v>
      </c>
      <c r="R17" s="732">
        <f>PMemission!R24*(R75)</f>
        <v>0</v>
      </c>
      <c r="S17" s="732">
        <f>PMemission!S24*(S75)</f>
        <v>0</v>
      </c>
      <c r="T17" s="732">
        <f>PMemission!T24*(T75)</f>
        <v>0</v>
      </c>
      <c r="U17" s="732">
        <f>PMemission!U24*(U75)</f>
        <v>0</v>
      </c>
      <c r="V17" s="732">
        <f>PMemission!V24*(V75)</f>
        <v>0</v>
      </c>
      <c r="W17" s="732">
        <f>PMemission!W24*(W75)</f>
        <v>0</v>
      </c>
      <c r="X17" s="1311">
        <f t="shared" si="2"/>
        <v>16.70108032226562</v>
      </c>
      <c r="Y17" s="663"/>
      <c r="Z17" s="732">
        <f>PMemission!Z24*(Z75)</f>
        <v>0.25499999999999995</v>
      </c>
      <c r="AA17" s="732">
        <f>PMemission!AA24*(AA75)</f>
        <v>0</v>
      </c>
      <c r="AB17" s="732">
        <f>PMemission!AB24*(AB75)</f>
        <v>0</v>
      </c>
      <c r="AC17" s="732">
        <f>PMemission!AC24*(AC75)</f>
        <v>0</v>
      </c>
      <c r="AD17" s="732">
        <f>PMemission!AD24*(AD75)</f>
        <v>0</v>
      </c>
      <c r="AE17" s="732">
        <f>PMemission!AE24*(AE75)</f>
        <v>0</v>
      </c>
      <c r="AF17" s="732">
        <f>PMemission!AF24*(AF75)</f>
        <v>0</v>
      </c>
      <c r="AG17" s="732">
        <f>PMemission!AG24*(AG75)</f>
        <v>0</v>
      </c>
      <c r="AH17" s="732">
        <f>PMemission!AH24*(AH75)</f>
        <v>0</v>
      </c>
      <c r="AI17" s="732">
        <f>PMemission!AI24*(AI75)</f>
        <v>0</v>
      </c>
      <c r="AJ17" s="1309">
        <f t="shared" si="3"/>
        <v>0.25499999999999995</v>
      </c>
      <c r="AK17" s="663"/>
      <c r="AL17" s="1262" t="s">
        <v>17</v>
      </c>
      <c r="AM17" s="154">
        <f ca="1" t="shared" si="25"/>
        <v>92.21347769039929</v>
      </c>
      <c r="AN17" s="154">
        <f ca="1" t="shared" si="4"/>
        <v>0</v>
      </c>
      <c r="AO17" s="154">
        <f ca="1" t="shared" si="5"/>
        <v>0</v>
      </c>
      <c r="AP17" s="154">
        <f ca="1" t="shared" si="6"/>
        <v>0</v>
      </c>
      <c r="AQ17" s="154">
        <f ca="1" t="shared" si="7"/>
        <v>0</v>
      </c>
      <c r="AR17" s="154">
        <f ca="1" t="shared" si="8"/>
        <v>0</v>
      </c>
      <c r="AS17" s="154">
        <f ca="1" t="shared" si="9"/>
        <v>0</v>
      </c>
      <c r="AT17" s="154">
        <f ca="1" t="shared" si="10"/>
        <v>0</v>
      </c>
      <c r="AU17" s="154">
        <f t="shared" si="11"/>
        <v>0</v>
      </c>
      <c r="AV17" s="154">
        <f t="shared" si="12"/>
        <v>0</v>
      </c>
      <c r="AW17" s="117">
        <f ca="1" t="shared" si="13"/>
        <v>92.21347769039929</v>
      </c>
      <c r="AX17" s="26"/>
      <c r="AY17" s="78" t="s">
        <v>17</v>
      </c>
      <c r="AZ17" s="116">
        <f ca="1" t="shared" si="14"/>
        <v>4957.375649214811</v>
      </c>
      <c r="BA17" s="116">
        <f ca="1" t="shared" si="15"/>
        <v>0</v>
      </c>
      <c r="BB17" s="116">
        <f ca="1" t="shared" si="16"/>
        <v>0</v>
      </c>
      <c r="BC17" s="116">
        <f ca="1" t="shared" si="17"/>
        <v>0</v>
      </c>
      <c r="BD17" s="116">
        <f ca="1" t="shared" si="18"/>
        <v>0</v>
      </c>
      <c r="BE17" s="116">
        <f ca="1" t="shared" si="19"/>
        <v>0</v>
      </c>
      <c r="BF17" s="116">
        <f ca="1" t="shared" si="20"/>
        <v>0</v>
      </c>
      <c r="BG17" s="116">
        <f ca="1" t="shared" si="21"/>
        <v>0</v>
      </c>
      <c r="BH17" s="116">
        <f ca="1" t="shared" si="22"/>
        <v>0</v>
      </c>
      <c r="BI17" s="116">
        <f ca="1" t="shared" si="23"/>
        <v>0</v>
      </c>
      <c r="BJ17" s="117">
        <f ca="1">SUM(AZ17:BI17)</f>
        <v>4957.375649214811</v>
      </c>
      <c r="BK17" s="4">
        <f ca="1" t="shared" si="24"/>
        <v>0.21444427530156226</v>
      </c>
      <c r="BL17" s="4" t="s">
        <v>94</v>
      </c>
      <c r="BM17" s="142"/>
      <c r="BN17" s="91"/>
    </row>
    <row r="18" spans="1:66" ht="12.75">
      <c r="A18" s="48" t="s">
        <v>18</v>
      </c>
      <c r="B18" s="49">
        <f>PMemission!B25*(B76)</f>
        <v>0</v>
      </c>
      <c r="C18" s="49">
        <f>PMemission!C25*(C76)</f>
        <v>0</v>
      </c>
      <c r="D18" s="49">
        <f>PMemission!D25*(D76)</f>
        <v>0.32039999999999996</v>
      </c>
      <c r="E18" s="49">
        <f>PMemission!E25*(E76)</f>
        <v>0</v>
      </c>
      <c r="F18" s="49">
        <f>PMemission!F25*(F76)</f>
        <v>0</v>
      </c>
      <c r="G18" s="49">
        <f>PMemission!G25*(G76)</f>
        <v>0</v>
      </c>
      <c r="H18" s="49">
        <f>PMemission!H25*(H76)</f>
        <v>0</v>
      </c>
      <c r="I18" s="49">
        <f>PMemission!I25*(I76)</f>
        <v>3.0069285714285714</v>
      </c>
      <c r="J18" s="49">
        <f>PMemission!J25*(J76)</f>
        <v>0</v>
      </c>
      <c r="K18" s="49">
        <f>PMemission!K25*(K76)</f>
        <v>0</v>
      </c>
      <c r="L18" s="1309">
        <f t="shared" si="1"/>
        <v>3.327328571428571</v>
      </c>
      <c r="M18" s="26"/>
      <c r="N18" s="729">
        <f>PMemission!N25*(N76)</f>
        <v>0</v>
      </c>
      <c r="O18" s="729">
        <f>PMemission!O25*(O76)</f>
        <v>0</v>
      </c>
      <c r="P18" s="729">
        <f>PMemission!P25*(P76)</f>
        <v>43.3875</v>
      </c>
      <c r="Q18" s="732">
        <f>PMemission!Q25*(Q76)</f>
        <v>0</v>
      </c>
      <c r="R18" s="732">
        <f>PMemission!R25*(R76)</f>
        <v>0</v>
      </c>
      <c r="S18" s="732">
        <f>PMemission!S25*(S76)</f>
        <v>0</v>
      </c>
      <c r="T18" s="732">
        <f>PMemission!T25*(T76)</f>
        <v>0</v>
      </c>
      <c r="U18" s="732">
        <f>PMemission!U25*(U76)</f>
        <v>0</v>
      </c>
      <c r="V18" s="732">
        <f>PMemission!V25*(V76)</f>
        <v>0</v>
      </c>
      <c r="W18" s="732">
        <f>PMemission!W25*(W76)</f>
        <v>0</v>
      </c>
      <c r="X18" s="1309">
        <f t="shared" si="2"/>
        <v>43.3875</v>
      </c>
      <c r="Y18" s="663"/>
      <c r="Z18" s="732">
        <f>PMemission!Z25*(Z76)</f>
        <v>0</v>
      </c>
      <c r="AA18" s="732">
        <f>PMemission!AA25*(AA76)</f>
        <v>0</v>
      </c>
      <c r="AB18" s="732">
        <f>PMemission!AB25*(AB76)</f>
        <v>2.8480000000000008</v>
      </c>
      <c r="AC18" s="732">
        <f>PMemission!AC25*(AC76)</f>
        <v>0</v>
      </c>
      <c r="AD18" s="732">
        <f>PMemission!AD25*(AD76)</f>
        <v>0</v>
      </c>
      <c r="AE18" s="732">
        <f>PMemission!AE25*(AE76)</f>
        <v>0</v>
      </c>
      <c r="AF18" s="732">
        <f>PMemission!AF25*(AF76)</f>
        <v>0</v>
      </c>
      <c r="AG18" s="732">
        <f>PMemission!AG25*(AG76)</f>
        <v>0</v>
      </c>
      <c r="AH18" s="732">
        <f>PMemission!AH25*(AH76)</f>
        <v>0</v>
      </c>
      <c r="AI18" s="732">
        <f>PMemission!AI25*(AI76)</f>
        <v>0</v>
      </c>
      <c r="AJ18" s="1309">
        <f t="shared" si="3"/>
        <v>2.8480000000000008</v>
      </c>
      <c r="AK18" s="663"/>
      <c r="AL18" s="1262" t="s">
        <v>18</v>
      </c>
      <c r="AM18" s="154">
        <f ca="1" t="shared" si="25"/>
        <v>0</v>
      </c>
      <c r="AN18" s="154">
        <f ca="1" t="shared" si="4"/>
        <v>0</v>
      </c>
      <c r="AO18" s="154">
        <f ca="1" t="shared" si="5"/>
        <v>44.96245610184963</v>
      </c>
      <c r="AP18" s="154">
        <f ca="1" t="shared" si="6"/>
        <v>0</v>
      </c>
      <c r="AQ18" s="154">
        <f ca="1" t="shared" si="7"/>
        <v>0</v>
      </c>
      <c r="AR18" s="154">
        <f ca="1" t="shared" si="8"/>
        <v>0</v>
      </c>
      <c r="AS18" s="154">
        <f ca="1" t="shared" si="9"/>
        <v>0</v>
      </c>
      <c r="AT18" s="154">
        <f ca="1" t="shared" si="10"/>
        <v>2.904012034871081</v>
      </c>
      <c r="AU18" s="154">
        <f t="shared" si="11"/>
        <v>0</v>
      </c>
      <c r="AV18" s="154">
        <f t="shared" si="12"/>
        <v>0</v>
      </c>
      <c r="AW18" s="1308">
        <f aca="true" t="shared" si="28" ref="AW18:AW19">SUM(AM18:AV18)</f>
        <v>47.86646813672071</v>
      </c>
      <c r="AX18" s="26"/>
      <c r="AY18" s="78" t="s">
        <v>18</v>
      </c>
      <c r="AZ18" s="116">
        <f ca="1" t="shared" si="14"/>
        <v>0</v>
      </c>
      <c r="BA18" s="116">
        <f ca="1" t="shared" si="15"/>
        <v>0</v>
      </c>
      <c r="BB18" s="116">
        <f ca="1" t="shared" si="16"/>
        <v>2417.171443816025</v>
      </c>
      <c r="BC18" s="116">
        <f ca="1" t="shared" si="17"/>
        <v>0</v>
      </c>
      <c r="BD18" s="116">
        <f ca="1" t="shared" si="18"/>
        <v>0</v>
      </c>
      <c r="BE18" s="116">
        <f ca="1" t="shared" si="19"/>
        <v>0</v>
      </c>
      <c r="BF18" s="116">
        <f ca="1" t="shared" si="20"/>
        <v>0</v>
      </c>
      <c r="BG18" s="116">
        <f ca="1" t="shared" si="21"/>
        <v>156.11902844648387</v>
      </c>
      <c r="BH18" s="116">
        <f ca="1" t="shared" si="22"/>
        <v>0</v>
      </c>
      <c r="BI18" s="116">
        <f ca="1" t="shared" si="23"/>
        <v>0</v>
      </c>
      <c r="BJ18" s="117">
        <f ca="1">SUM(AZ18:BI18)</f>
        <v>2573.290472262509</v>
      </c>
      <c r="BK18" s="4">
        <f ca="1" t="shared" si="24"/>
        <v>0.11131442309645255</v>
      </c>
      <c r="BL18" s="4" t="s">
        <v>94</v>
      </c>
      <c r="BM18" s="142"/>
      <c r="BN18" s="91"/>
    </row>
    <row r="19" spans="1:66" ht="12.75">
      <c r="A19" s="261" t="s">
        <v>234</v>
      </c>
      <c r="B19" s="49">
        <f>PMemission!B26*(B77)</f>
        <v>34.3627109375</v>
      </c>
      <c r="C19" s="49">
        <f>PMemission!C26*(C77)</f>
        <v>0</v>
      </c>
      <c r="D19" s="49">
        <f>PMemission!D26*(D77)</f>
        <v>10.17824</v>
      </c>
      <c r="E19" s="49">
        <f>PMemission!E26*(E77)</f>
        <v>0</v>
      </c>
      <c r="F19" s="49">
        <f>PMemission!F26*(F77)</f>
        <v>0</v>
      </c>
      <c r="G19" s="49">
        <f>PMemission!G26*(G77)</f>
        <v>0</v>
      </c>
      <c r="H19" s="49">
        <f>PMemission!H26*(H77)</f>
        <v>0</v>
      </c>
      <c r="I19" s="49">
        <f>PMemission!I26*(I77)</f>
        <v>1.9841428571428572</v>
      </c>
      <c r="J19" s="49">
        <f>PMemission!J26*(J77)</f>
        <v>0</v>
      </c>
      <c r="K19" s="49">
        <f>PMemission!K26*(K77)</f>
        <v>0</v>
      </c>
      <c r="L19" s="1309">
        <f t="shared" si="1"/>
        <v>46.525093794642856</v>
      </c>
      <c r="M19" s="26"/>
      <c r="N19" s="729">
        <f>PMemission!N26*(N77)</f>
        <v>200.98080059814455</v>
      </c>
      <c r="O19" s="729">
        <f>PMemission!O26*(O77)</f>
        <v>0</v>
      </c>
      <c r="P19" s="729">
        <f>PMemission!P26*(P77)</f>
        <v>2029.4503125</v>
      </c>
      <c r="Q19" s="732">
        <f>PMemission!Q26*(Q77)</f>
        <v>0</v>
      </c>
      <c r="R19" s="732">
        <f>PMemission!R26*(R77)</f>
        <v>0</v>
      </c>
      <c r="S19" s="732">
        <f>PMemission!S26*(S77)</f>
        <v>0</v>
      </c>
      <c r="T19" s="732">
        <f>PMemission!T26*(T77)</f>
        <v>0</v>
      </c>
      <c r="U19" s="732">
        <f>PMemission!U26*(U77)</f>
        <v>0</v>
      </c>
      <c r="V19" s="732">
        <f>PMemission!V26*(V77)</f>
        <v>0</v>
      </c>
      <c r="W19" s="732">
        <f>PMemission!W26*(W77)</f>
        <v>0</v>
      </c>
      <c r="X19" s="1309">
        <f t="shared" si="2"/>
        <v>2230.4311130981446</v>
      </c>
      <c r="Y19" s="663"/>
      <c r="Z19" s="732">
        <f>PMemission!Z26*(Z77)</f>
        <v>0.1134478</v>
      </c>
      <c r="AA19" s="732">
        <f>PMemission!AA26*(AA77)</f>
        <v>0</v>
      </c>
      <c r="AB19" s="732">
        <f>PMemission!AB26*(AB77)</f>
        <v>10.17824</v>
      </c>
      <c r="AC19" s="732">
        <f>PMemission!AC26*(AC77)</f>
        <v>28.08672</v>
      </c>
      <c r="AD19" s="732">
        <f>PMemission!AD26*(AD77)</f>
        <v>0</v>
      </c>
      <c r="AE19" s="732">
        <f>PMemission!AE26*(AE77)</f>
        <v>0</v>
      </c>
      <c r="AF19" s="732">
        <f>PMemission!AF26*(AF77)</f>
        <v>0</v>
      </c>
      <c r="AG19" s="732">
        <f>PMemission!AG26*(AG77)</f>
        <v>0.05168</v>
      </c>
      <c r="AH19" s="732">
        <f>PMemission!AH26*(AH77)</f>
        <v>0</v>
      </c>
      <c r="AI19" s="732">
        <f>PMemission!AI26*(AI77)</f>
        <v>0</v>
      </c>
      <c r="AJ19" s="1309">
        <f t="shared" si="3"/>
        <v>38.430087799999995</v>
      </c>
      <c r="AK19" s="663"/>
      <c r="AL19" s="1262" t="s">
        <v>234</v>
      </c>
      <c r="AM19" s="154">
        <f ca="1" t="shared" si="25"/>
        <v>227.3980998757174</v>
      </c>
      <c r="AN19" s="154">
        <f ca="1" t="shared" si="4"/>
        <v>0</v>
      </c>
      <c r="AO19" s="154">
        <f ca="1" t="shared" si="5"/>
        <v>1979.649151343964</v>
      </c>
      <c r="AP19" s="154">
        <f ca="1" t="shared" si="6"/>
        <v>27.125410851147592</v>
      </c>
      <c r="AQ19" s="154">
        <f ca="1" t="shared" si="7"/>
        <v>0</v>
      </c>
      <c r="AR19" s="154">
        <f ca="1" t="shared" si="8"/>
        <v>0</v>
      </c>
      <c r="AS19" s="154">
        <f ca="1" t="shared" si="9"/>
        <v>0</v>
      </c>
      <c r="AT19" s="154">
        <f ca="1" t="shared" si="10"/>
        <v>1.9661438366657678</v>
      </c>
      <c r="AU19" s="154">
        <f t="shared" si="11"/>
        <v>0</v>
      </c>
      <c r="AV19" s="154">
        <f t="shared" si="12"/>
        <v>0</v>
      </c>
      <c r="AW19" s="1308">
        <f ca="1" t="shared" si="28"/>
        <v>2236.1388059074943</v>
      </c>
      <c r="AX19" s="26"/>
      <c r="AY19" s="78" t="s">
        <v>234</v>
      </c>
      <c r="AZ19" s="116">
        <f ca="1" t="shared" si="14"/>
        <v>12224.870281830468</v>
      </c>
      <c r="BA19" s="116">
        <f ca="1" t="shared" si="15"/>
        <v>0</v>
      </c>
      <c r="BB19" s="720">
        <f ca="1" t="shared" si="16"/>
        <v>106425.48944754845</v>
      </c>
      <c r="BC19" s="116">
        <f ca="1" t="shared" si="17"/>
        <v>1458.2559360780576</v>
      </c>
      <c r="BD19" s="116">
        <f ca="1" t="shared" si="18"/>
        <v>0</v>
      </c>
      <c r="BE19" s="116">
        <f ca="1" t="shared" si="19"/>
        <v>0</v>
      </c>
      <c r="BF19" s="116">
        <f ca="1" t="shared" si="20"/>
        <v>0</v>
      </c>
      <c r="BG19" s="116">
        <f ca="1" t="shared" si="21"/>
        <v>105.69944679307385</v>
      </c>
      <c r="BH19" s="116">
        <f ca="1" t="shared" si="22"/>
        <v>0</v>
      </c>
      <c r="BI19" s="116">
        <f ca="1" t="shared" si="23"/>
        <v>0</v>
      </c>
      <c r="BJ19" s="117">
        <f ca="1">SUM(AZ19:BI19)</f>
        <v>120214.31511225006</v>
      </c>
      <c r="BK19" s="4">
        <f ca="1" t="shared" si="24"/>
        <v>5.200185240996057</v>
      </c>
      <c r="BL19" s="4" t="s">
        <v>94</v>
      </c>
      <c r="BM19" s="142"/>
      <c r="BN19" s="91"/>
    </row>
    <row r="20" spans="1:67" ht="13.5" thickBot="1">
      <c r="A20" s="54" t="s">
        <v>20</v>
      </c>
      <c r="B20" s="49">
        <f>PMemission!B27*(B78)</f>
        <v>0</v>
      </c>
      <c r="C20" s="49">
        <f>PMemission!C27*(C78)</f>
        <v>0</v>
      </c>
      <c r="D20" s="49">
        <f>PMemission!D27*(D78)</f>
        <v>0</v>
      </c>
      <c r="E20" s="49">
        <f>PMemission!E27*(E78)</f>
        <v>0</v>
      </c>
      <c r="F20" s="49">
        <f>PMemission!F27*(F78)</f>
        <v>0</v>
      </c>
      <c r="G20" s="49">
        <f>PMemission!G27*(G78)</f>
        <v>0</v>
      </c>
      <c r="H20" s="49">
        <f>PMemission!H27*(H78)</f>
        <v>0</v>
      </c>
      <c r="I20" s="49">
        <f>PMemission!I27*(I78)</f>
        <v>0</v>
      </c>
      <c r="J20" s="49">
        <f>PMemission!J27*(J78)</f>
        <v>0</v>
      </c>
      <c r="K20" s="49">
        <f>PMemission!K27*(K78)</f>
        <v>0</v>
      </c>
      <c r="L20" s="1309"/>
      <c r="M20" s="26"/>
      <c r="N20" s="730">
        <f>PMemission!N27*(N78)</f>
        <v>0</v>
      </c>
      <c r="O20" s="730">
        <f>PMemission!O27*(O78)</f>
        <v>0</v>
      </c>
      <c r="P20" s="730">
        <f>PMemission!P27*(P78)</f>
        <v>0</v>
      </c>
      <c r="Q20" s="1264">
        <f>PMemission!Q27*(Q78)</f>
        <v>0</v>
      </c>
      <c r="R20" s="1264">
        <f>PMemission!R27*(R78)</f>
        <v>0</v>
      </c>
      <c r="S20" s="1264">
        <f>PMemission!S27*(S78)</f>
        <v>0</v>
      </c>
      <c r="T20" s="1264">
        <f>PMemission!T27*(T78)</f>
        <v>0</v>
      </c>
      <c r="U20" s="732">
        <f>PMemission!U27*(U78)</f>
        <v>0</v>
      </c>
      <c r="V20" s="1264">
        <f>PMemission!V27*(V78)</f>
        <v>0</v>
      </c>
      <c r="W20" s="1264">
        <f>PMemission!W27*(W78)</f>
        <v>0</v>
      </c>
      <c r="X20" s="1311"/>
      <c r="Y20" s="663"/>
      <c r="Z20" s="732">
        <f>PMemission!Z27*(Z78)</f>
        <v>0</v>
      </c>
      <c r="AA20" s="732">
        <f>PMemission!AA27*(AA78)</f>
        <v>0</v>
      </c>
      <c r="AB20" s="732">
        <f>PMemission!AB27*(AB78)</f>
        <v>0</v>
      </c>
      <c r="AC20" s="732">
        <f>PMemission!AC27*(AC78)</f>
        <v>0</v>
      </c>
      <c r="AD20" s="732">
        <f>PMemission!AD27*(AD78)</f>
        <v>0</v>
      </c>
      <c r="AE20" s="732">
        <f>PMemission!AE27*(AE78)</f>
        <v>0</v>
      </c>
      <c r="AF20" s="732">
        <f>PMemission!AF27*(AF78)</f>
        <v>0</v>
      </c>
      <c r="AG20" s="732">
        <f>PMemission!AG27*(AG78)</f>
        <v>0</v>
      </c>
      <c r="AH20" s="732">
        <f>PMemission!AH27*(AH78)</f>
        <v>0</v>
      </c>
      <c r="AI20" s="732">
        <f>PMemission!AI27*(AI78)</f>
        <v>0</v>
      </c>
      <c r="AJ20" s="1309"/>
      <c r="AK20" s="663"/>
      <c r="AL20" s="1262" t="s">
        <v>20</v>
      </c>
      <c r="AM20" s="154">
        <f aca="true" t="shared" si="29" ref="AM20">B20+N20+Z20</f>
        <v>0</v>
      </c>
      <c r="AN20" s="154">
        <f aca="true" t="shared" si="30" ref="AN20">C20+O20+AA20</f>
        <v>0</v>
      </c>
      <c r="AO20" s="154">
        <f aca="true" t="shared" si="31" ref="AO20">D20+P20+AB20</f>
        <v>0</v>
      </c>
      <c r="AP20" s="154">
        <f aca="true" t="shared" si="32" ref="AP20">E20+Q20+AC20</f>
        <v>0</v>
      </c>
      <c r="AQ20" s="154">
        <f aca="true" t="shared" si="33" ref="AQ20">F20+R20+AD20</f>
        <v>0</v>
      </c>
      <c r="AR20" s="154">
        <f aca="true" t="shared" si="34" ref="AR20">G20+S20+AE20</f>
        <v>0</v>
      </c>
      <c r="AS20" s="154">
        <f aca="true" t="shared" si="35" ref="AS20">H20+T20+AF20</f>
        <v>0</v>
      </c>
      <c r="AT20" s="154">
        <f aca="true" t="shared" si="36" ref="AT20">I20+U20+AG20</f>
        <v>0</v>
      </c>
      <c r="AU20" s="154">
        <f t="shared" si="11"/>
        <v>0</v>
      </c>
      <c r="AV20" s="154">
        <f t="shared" si="12"/>
        <v>0</v>
      </c>
      <c r="AW20" s="117"/>
      <c r="AX20" s="26"/>
      <c r="AY20" s="81" t="s">
        <v>20</v>
      </c>
      <c r="AZ20" s="116"/>
      <c r="BA20" s="116"/>
      <c r="BB20" s="116"/>
      <c r="BC20" s="116"/>
      <c r="BD20" s="116"/>
      <c r="BE20" s="116"/>
      <c r="BF20" s="116"/>
      <c r="BG20" s="116"/>
      <c r="BH20" s="116"/>
      <c r="BI20" s="116"/>
      <c r="BJ20" s="942"/>
      <c r="BK20" s="4">
        <f ca="1">-100*BJ20/BJ$21</f>
        <v>0</v>
      </c>
      <c r="BM20" s="142"/>
      <c r="BN20" s="91"/>
      <c r="BO20" s="139"/>
    </row>
    <row r="21" spans="1:66" ht="15.75" thickBot="1">
      <c r="A21" s="3"/>
      <c r="B21" s="102"/>
      <c r="C21" s="102"/>
      <c r="D21" s="102"/>
      <c r="E21" s="102"/>
      <c r="F21" s="102"/>
      <c r="G21" s="102"/>
      <c r="H21" s="102"/>
      <c r="I21" s="102"/>
      <c r="J21" s="102"/>
      <c r="K21" s="102"/>
      <c r="L21" s="1317">
        <f>SUM(L7:L20)</f>
        <v>4988.655813370537</v>
      </c>
      <c r="M21" s="1314"/>
      <c r="N21" s="1318"/>
      <c r="O21" s="1318"/>
      <c r="P21" s="1318"/>
      <c r="Q21" s="1319"/>
      <c r="R21" s="1319"/>
      <c r="S21" s="1319"/>
      <c r="T21" s="1319"/>
      <c r="U21" s="1319"/>
      <c r="V21" s="1319"/>
      <c r="W21" s="1319"/>
      <c r="X21" s="1317">
        <f>SUM(X7:X20)</f>
        <v>13153.418338378908</v>
      </c>
      <c r="Y21" s="1314"/>
      <c r="Z21" s="116"/>
      <c r="AA21" s="116"/>
      <c r="AB21" s="116"/>
      <c r="AC21" s="116"/>
      <c r="AD21" s="116"/>
      <c r="AE21" s="116"/>
      <c r="AF21" s="116"/>
      <c r="AG21" s="116"/>
      <c r="AH21" s="116"/>
      <c r="AI21" s="116"/>
      <c r="AJ21" s="1317">
        <f>SUM(AJ7:AJ20)</f>
        <v>344.87063609999996</v>
      </c>
      <c r="AK21" s="1314"/>
      <c r="AL21" s="118"/>
      <c r="AM21" s="118"/>
      <c r="AN21" s="110"/>
      <c r="AO21" s="110"/>
      <c r="AP21" s="110"/>
      <c r="AQ21" s="110"/>
      <c r="AR21" s="110"/>
      <c r="AS21" s="110"/>
      <c r="AT21" s="110"/>
      <c r="AU21" s="747">
        <f ca="1">AW9+AW10*(Mtoe!AI35/(Mtoe!AI35+Mtoe!AJ35))</f>
        <v>9609.752417467356</v>
      </c>
      <c r="AV21" s="747">
        <f ca="1">AW11+AW10*(Mtoe!AJ35/(Mtoe!AJ35+Mtoe!AI35))</f>
        <v>1891.221334227601</v>
      </c>
      <c r="AW21" s="111">
        <f ca="1">SUM(AW12:AW20)</f>
        <v>6353.228260960762</v>
      </c>
      <c r="AX21" s="26"/>
      <c r="AY21" s="83"/>
      <c r="AZ21" s="118"/>
      <c r="BA21" s="110"/>
      <c r="BB21" s="110"/>
      <c r="BC21" s="110"/>
      <c r="BD21" s="110"/>
      <c r="BE21" s="110"/>
      <c r="BF21" s="110"/>
      <c r="BG21" s="110"/>
      <c r="BH21" s="747">
        <f ca="1">BJ9+BJ10*(Mtoe!AI35/(Mtoe!AI35+Mtoe!AJ35))</f>
        <v>516618.11074169853</v>
      </c>
      <c r="BI21" s="747">
        <f ca="1">BJ11+BJ10*(Mtoe!AJ35/(Mtoe!AI35+Mtoe!AJ35))</f>
        <v>101671.63005231258</v>
      </c>
      <c r="BJ21" s="1000">
        <f ca="1">SUM(BJ12:BJ20)</f>
        <v>165708.39447042512</v>
      </c>
      <c r="BK21" s="268">
        <f ca="1">SUM(BK13:BK20)</f>
        <v>7.1681508681360615</v>
      </c>
      <c r="BL21" s="4" t="s">
        <v>94</v>
      </c>
      <c r="BM21" s="142"/>
      <c r="BN21" s="91"/>
    </row>
    <row r="22" spans="1:67" ht="15.75" customHeight="1" thickBot="1">
      <c r="A22" s="50" t="s">
        <v>21</v>
      </c>
      <c r="B22" s="51"/>
      <c r="C22" s="51"/>
      <c r="D22" s="51"/>
      <c r="E22" s="51"/>
      <c r="F22" s="51"/>
      <c r="G22" s="51"/>
      <c r="H22" s="51"/>
      <c r="I22" s="51"/>
      <c r="J22" s="51"/>
      <c r="K22" s="51"/>
      <c r="L22" s="1320">
        <f ca="1">L23+L37+L54</f>
        <v>7689.879409653842</v>
      </c>
      <c r="M22" s="239"/>
      <c r="N22" s="1321"/>
      <c r="O22" s="1321"/>
      <c r="P22" s="1321"/>
      <c r="Q22" s="1322"/>
      <c r="R22" s="1322"/>
      <c r="S22" s="1322"/>
      <c r="T22" s="1322"/>
      <c r="U22" s="1322"/>
      <c r="V22" s="1322"/>
      <c r="W22" s="1322"/>
      <c r="X22" s="1320">
        <f ca="1">X23+X37+X54</f>
        <v>5818.905648692353</v>
      </c>
      <c r="Y22" s="239"/>
      <c r="Z22" s="1323"/>
      <c r="AA22" s="1321"/>
      <c r="AB22" s="1321"/>
      <c r="AC22" s="1321"/>
      <c r="AD22" s="1321"/>
      <c r="AE22" s="1321"/>
      <c r="AF22" s="1321"/>
      <c r="AG22" s="1321"/>
      <c r="AH22" s="1321"/>
      <c r="AI22" s="1321"/>
      <c r="AJ22" s="1320">
        <f ca="1">AJ23+AJ37+AJ54</f>
        <v>15986.454240722196</v>
      </c>
      <c r="AK22" s="239"/>
      <c r="AL22" s="240"/>
      <c r="AM22" s="110">
        <f aca="true" t="shared" si="37" ref="AM22:AV22">AM23+AM37+AM54</f>
        <v>10509.353810228076</v>
      </c>
      <c r="AN22" s="110">
        <f ca="1" t="shared" si="37"/>
        <v>222.58919055417383</v>
      </c>
      <c r="AO22" s="110">
        <f ca="1">AO23+AO37+AO54</f>
        <v>13600.785986760986</v>
      </c>
      <c r="AP22" s="110">
        <f ca="1">AP23+AP37+AP54</f>
        <v>305.6667197886083</v>
      </c>
      <c r="AQ22" s="110">
        <f ca="1" t="shared" si="37"/>
        <v>0</v>
      </c>
      <c r="AR22" s="110">
        <f ca="1" t="shared" si="37"/>
        <v>0</v>
      </c>
      <c r="AS22" s="110">
        <f ca="1" t="shared" si="37"/>
        <v>0</v>
      </c>
      <c r="AT22" s="110">
        <f ca="1">AT23+AT37+AT54</f>
        <v>3855.0436707595645</v>
      </c>
      <c r="AU22" s="110">
        <f ca="1">AU23+AU37+AU54</f>
        <v>9549.787683856623</v>
      </c>
      <c r="AV22" s="110">
        <f ca="1" t="shared" si="37"/>
        <v>1888.3649248845204</v>
      </c>
      <c r="AW22" s="1307">
        <f ca="1">AW23+AW37+AW54</f>
        <v>39931.59198683255</v>
      </c>
      <c r="AX22" s="31"/>
      <c r="AY22" s="8"/>
      <c r="AZ22" s="110">
        <f ca="1">AZ23+AZ37+AZ54</f>
        <v>564290.15402107</v>
      </c>
      <c r="BA22" s="110">
        <f ca="1">BA23+BA37+BA54</f>
        <v>11966.344407229555</v>
      </c>
      <c r="BB22" s="110">
        <f ca="1">BB23+BB37+BB54</f>
        <v>731175.1703728528</v>
      </c>
      <c r="BC22" s="110">
        <f ca="1">BC23+BC37+BC54</f>
        <v>16432.57353922764</v>
      </c>
      <c r="BD22" s="110"/>
      <c r="BE22" s="110">
        <f aca="true" t="shared" si="38" ref="BE22:BJ22">BE23+BE37+BE54</f>
        <v>0</v>
      </c>
      <c r="BF22" s="110">
        <f ca="1" t="shared" si="38"/>
        <v>0</v>
      </c>
      <c r="BG22" s="110">
        <f ca="1" t="shared" si="38"/>
        <v>207246.273524644</v>
      </c>
      <c r="BH22" s="110">
        <f ca="1" t="shared" si="38"/>
        <v>522271.1856310355</v>
      </c>
      <c r="BI22" s="110">
        <f ca="1" t="shared" si="38"/>
        <v>101518.0701337818</v>
      </c>
      <c r="BJ22" s="1001">
        <f ca="1" t="shared" si="38"/>
        <v>2146023.006259905</v>
      </c>
      <c r="BK22" s="143"/>
      <c r="BL22" s="144"/>
      <c r="BM22" s="938"/>
      <c r="BN22" s="939"/>
      <c r="BO22" s="10"/>
    </row>
    <row r="23" spans="1:66" ht="12.75">
      <c r="A23" s="55" t="s">
        <v>22</v>
      </c>
      <c r="B23" s="56"/>
      <c r="C23" s="56"/>
      <c r="D23" s="49"/>
      <c r="E23" s="56"/>
      <c r="F23" s="56"/>
      <c r="G23" s="56"/>
      <c r="H23" s="56"/>
      <c r="I23" s="56"/>
      <c r="J23" s="56"/>
      <c r="K23" s="56"/>
      <c r="L23" s="1311">
        <f aca="true" t="shared" si="39" ref="L23">SUM(L24:L36)</f>
        <v>4554.192557366072</v>
      </c>
      <c r="M23" s="1314"/>
      <c r="N23" s="1315"/>
      <c r="O23" s="1315"/>
      <c r="P23" s="1315">
        <f>PMemission!P30*(P81)</f>
        <v>0</v>
      </c>
      <c r="Q23" s="1309"/>
      <c r="R23" s="1309"/>
      <c r="S23" s="1309"/>
      <c r="T23" s="1309"/>
      <c r="U23" s="1309"/>
      <c r="V23" s="1309"/>
      <c r="W23" s="1309"/>
      <c r="X23" s="1311">
        <f aca="true" t="shared" si="40" ref="X23">SUM(X24:X36)</f>
        <v>3848.4446670856587</v>
      </c>
      <c r="Y23" s="1314"/>
      <c r="Z23" s="1316"/>
      <c r="AA23" s="1316"/>
      <c r="AB23" s="1316"/>
      <c r="AC23" s="1316"/>
      <c r="AD23" s="1316"/>
      <c r="AE23" s="1316"/>
      <c r="AF23" s="1316"/>
      <c r="AG23" s="1316"/>
      <c r="AH23" s="1316"/>
      <c r="AI23" s="1316"/>
      <c r="AJ23" s="1309">
        <f aca="true" t="shared" si="41" ref="AJ23">SUM(AJ24:AJ36)</f>
        <v>242.53136999999998</v>
      </c>
      <c r="AK23" s="1314"/>
      <c r="AL23" s="117" t="s">
        <v>22</v>
      </c>
      <c r="AM23" s="119">
        <f ca="1">SUM(AM24:AM36)</f>
        <v>6243.251734336489</v>
      </c>
      <c r="AN23" s="119">
        <f ca="1">SUM(AN24:AN36)</f>
        <v>222.58919055417383</v>
      </c>
      <c r="AO23" s="119">
        <f aca="true" t="shared" si="42" ref="AO23:AW23">SUM(AO24:AO36)</f>
        <v>1493.582859558914</v>
      </c>
      <c r="AP23" s="119">
        <f ca="1" t="shared" si="42"/>
        <v>28.962968840056995</v>
      </c>
      <c r="AQ23" s="119">
        <f ca="1" t="shared" si="42"/>
        <v>0</v>
      </c>
      <c r="AR23" s="119">
        <f ca="1" t="shared" si="42"/>
        <v>0</v>
      </c>
      <c r="AS23" s="119">
        <f ca="1" t="shared" si="42"/>
        <v>0</v>
      </c>
      <c r="AT23" s="119">
        <f ca="1" t="shared" si="42"/>
        <v>360.88827782618523</v>
      </c>
      <c r="AU23" s="119">
        <f ca="1" t="shared" si="42"/>
        <v>3541.618168334647</v>
      </c>
      <c r="AV23" s="119">
        <f ca="1" t="shared" si="42"/>
        <v>616.9385514696487</v>
      </c>
      <c r="AW23" s="117">
        <f ca="1" t="shared" si="42"/>
        <v>12507.831750920117</v>
      </c>
      <c r="AX23" s="26"/>
      <c r="AY23" s="77" t="s">
        <v>22</v>
      </c>
      <c r="AZ23" s="119">
        <f aca="true" t="shared" si="43" ref="AZ23:BK23">SUM(AZ24:AZ36)</f>
        <v>335635.7974441755</v>
      </c>
      <c r="BA23" s="119">
        <f ca="1" t="shared" si="43"/>
        <v>11966.344407229555</v>
      </c>
      <c r="BB23" s="119">
        <f ca="1" t="shared" si="43"/>
        <v>80294.67582733705</v>
      </c>
      <c r="BC23" s="119">
        <f ca="1" t="shared" si="43"/>
        <v>1557.0426368554001</v>
      </c>
      <c r="BD23" s="119">
        <f ca="1" t="shared" si="43"/>
        <v>0</v>
      </c>
      <c r="BE23" s="119">
        <f ca="1" t="shared" si="43"/>
        <v>0</v>
      </c>
      <c r="BF23" s="119">
        <f ca="1" t="shared" si="43"/>
        <v>0</v>
      </c>
      <c r="BG23" s="119">
        <f ca="1" t="shared" si="43"/>
        <v>19401.271976632834</v>
      </c>
      <c r="BH23" s="119">
        <f ca="1" t="shared" si="43"/>
        <v>190396.58959036178</v>
      </c>
      <c r="BI23" s="119">
        <f ca="1" t="shared" si="43"/>
        <v>33166.476622710834</v>
      </c>
      <c r="BJ23" s="117">
        <f ca="1" t="shared" si="43"/>
        <v>672418.198505303</v>
      </c>
      <c r="BK23" s="11">
        <f ca="1" t="shared" si="43"/>
        <v>29.087211355647554</v>
      </c>
      <c r="BL23" s="4" t="s">
        <v>94</v>
      </c>
      <c r="BM23" s="142"/>
      <c r="BN23" s="91"/>
    </row>
    <row r="24" spans="1:66" ht="12.75">
      <c r="A24" s="48" t="s">
        <v>23</v>
      </c>
      <c r="B24" s="49">
        <f>PMemission!B31*(B82)</f>
        <v>681.31484375</v>
      </c>
      <c r="C24" s="49">
        <f>PMemission!C31*(C82)</f>
        <v>0</v>
      </c>
      <c r="D24" s="49">
        <f>PMemission!D31*(D82)</f>
        <v>2.0808000000000004</v>
      </c>
      <c r="E24" s="49">
        <f>PMemission!E31*(E82)</f>
        <v>0</v>
      </c>
      <c r="F24" s="49">
        <f>PMemission!F31*(F82)</f>
        <v>0</v>
      </c>
      <c r="G24" s="49">
        <f>PMemission!G31*(G82)</f>
        <v>0</v>
      </c>
      <c r="H24" s="49">
        <f>PMemission!H31*(H82)</f>
        <v>0</v>
      </c>
      <c r="I24" s="49">
        <f>PMemission!I31*(I82)</f>
        <v>0.8354285714285715</v>
      </c>
      <c r="J24" s="49">
        <f>PMemission!J31*(J82)</f>
        <v>0</v>
      </c>
      <c r="K24" s="49">
        <f>PMemission!K31*(K82)</f>
        <v>0</v>
      </c>
      <c r="L24" s="1311">
        <f aca="true" t="shared" si="44" ref="L24:L36">SUM(B24:K24)</f>
        <v>684.2310723214285</v>
      </c>
      <c r="M24" s="26"/>
      <c r="N24" s="729">
        <f>PMemission!N31*(N82)</f>
        <v>1086.784844970703</v>
      </c>
      <c r="O24" s="729">
        <f>PMemission!O31*(O82)</f>
        <v>0</v>
      </c>
      <c r="P24" s="729">
        <f>PMemission!P31*(P82)</f>
        <v>82.97859375</v>
      </c>
      <c r="Q24" s="732">
        <f>PMemission!Q31*(Q82)</f>
        <v>0</v>
      </c>
      <c r="R24" s="732">
        <f>PMemission!R31*(R82)</f>
        <v>0</v>
      </c>
      <c r="S24" s="732">
        <f>PMemission!S31*(S82)</f>
        <v>0</v>
      </c>
      <c r="T24" s="732">
        <f>PMemission!T31*(T82)</f>
        <v>0</v>
      </c>
      <c r="U24" s="732">
        <f>PMemission!U31*(U82)</f>
        <v>0</v>
      </c>
      <c r="V24" s="732">
        <f>PMemission!V31*(V82)</f>
        <v>0</v>
      </c>
      <c r="W24" s="732">
        <f>PMemission!W31*(W82)</f>
        <v>0</v>
      </c>
      <c r="X24" s="1311">
        <f aca="true" t="shared" si="45" ref="X24:X36">SUM(N24:W24)</f>
        <v>1169.763438720703</v>
      </c>
      <c r="Y24" s="663"/>
      <c r="Z24" s="732">
        <f>PMemission!Z31*(Z82)</f>
        <v>8.112400000000001</v>
      </c>
      <c r="AA24" s="732">
        <f>PMemission!AA31*(AA82)</f>
        <v>0</v>
      </c>
      <c r="AB24" s="732">
        <f>PMemission!AB31*(AB82)</f>
        <v>1.0404000000000002</v>
      </c>
      <c r="AC24" s="732">
        <f>PMemission!AC31*(AC82)</f>
        <v>2.3562000000000003</v>
      </c>
      <c r="AD24" s="732">
        <f>PMemission!AD31*(AD82)</f>
        <v>0</v>
      </c>
      <c r="AE24" s="732">
        <f>PMemission!AE31*(AE82)</f>
        <v>0</v>
      </c>
      <c r="AF24" s="732">
        <f>PMemission!AF31*(AF82)</f>
        <v>0</v>
      </c>
      <c r="AG24" s="732">
        <f>PMemission!AG31*(AG82)</f>
        <v>0.0408</v>
      </c>
      <c r="AH24" s="732">
        <f>PMemission!AH31*(AH82)</f>
        <v>0</v>
      </c>
      <c r="AI24" s="732">
        <f>PMemission!AI31*(AI82)</f>
        <v>0</v>
      </c>
      <c r="AJ24" s="1309">
        <f aca="true" t="shared" si="46" ref="AJ24:AJ36">SUM(Z24:AI24)</f>
        <v>11.549800000000001</v>
      </c>
      <c r="AK24" s="663"/>
      <c r="AL24" s="1262" t="s">
        <v>23</v>
      </c>
      <c r="AM24" s="154">
        <f aca="true" t="shared" si="47" ref="AM24:AM36">(B24+N24+Z24)*$AU$102/$AS$102</f>
        <v>1715.4186272132908</v>
      </c>
      <c r="AN24" s="154">
        <f aca="true" t="shared" si="48" ref="AN24:AN36">(C24+O24+AA24)*$AU$102/$AS$102</f>
        <v>0</v>
      </c>
      <c r="AO24" s="154">
        <f aca="true" t="shared" si="49" ref="AO24:AO36">(D24+P24+AB24)*$AU$102/$AS$102</f>
        <v>83.1529021426432</v>
      </c>
      <c r="AP24" s="154">
        <f aca="true" t="shared" si="50" ref="AP24:AP36">(E24+Q24+AC24)*$AU$102/$AS$102</f>
        <v>2.2755556023442383</v>
      </c>
      <c r="AQ24" s="154">
        <f aca="true" t="shared" si="51" ref="AQ24:AQ36">(F24+R24+AD24)*$AU$102/$AS$102</f>
        <v>0</v>
      </c>
      <c r="AR24" s="154">
        <f aca="true" t="shared" si="52" ref="AR24:AR36">(G24+S24+AE24)*$AU$102/$AS$102</f>
        <v>0</v>
      </c>
      <c r="AS24" s="154">
        <f aca="true" t="shared" si="53" ref="AS24:AS36">(H24+T24+AF24)*$AU$102/$AS$102</f>
        <v>0</v>
      </c>
      <c r="AT24" s="154">
        <f aca="true" t="shared" si="54" ref="AT24:AT36">(I24+U24+AG24)*$AU$102/$AS$102</f>
        <v>0.8462383645906011</v>
      </c>
      <c r="AU24" s="154">
        <f ca="1">AU$21*(Mtoe!$AI38/Mtoe!$AI$35)</f>
        <v>399.2890085550654</v>
      </c>
      <c r="AV24" s="154">
        <f ca="1">AV$21*(Mtoe!$AJ38/Mtoe!$AJ$35)</f>
        <v>21.399046615112162</v>
      </c>
      <c r="AW24" s="117">
        <f aca="true" t="shared" si="55" ref="AW24:AW36">SUM(AM24:AV24)</f>
        <v>2222.381378493046</v>
      </c>
      <c r="AX24" s="26"/>
      <c r="AY24" s="78" t="s">
        <v>23</v>
      </c>
      <c r="AZ24" s="116">
        <f aca="true" t="shared" si="56" ref="AZ24:AZ36">1000*AM24*$BD$89</f>
        <v>92220.5163903286</v>
      </c>
      <c r="BA24" s="116">
        <f aca="true" t="shared" si="57" ref="BA24:BA36">1000*AN24*$BD$89</f>
        <v>0</v>
      </c>
      <c r="BB24" s="116">
        <f aca="true" t="shared" si="58" ref="BB24:BB36">1000*AO24*$BD$89</f>
        <v>4470.281162450936</v>
      </c>
      <c r="BC24" s="116">
        <f aca="true" t="shared" si="59" ref="BC24:BC36">1000*AP24*$BD$89</f>
        <v>122.33335315006948</v>
      </c>
      <c r="BD24" s="116">
        <f aca="true" t="shared" si="60" ref="BD24:BD36">1000*AQ24*$BD$89</f>
        <v>0</v>
      </c>
      <c r="BE24" s="116">
        <f aca="true" t="shared" si="61" ref="BE24:BE36">1000*AR24*$BD$89</f>
        <v>0</v>
      </c>
      <c r="BF24" s="116">
        <f aca="true" t="shared" si="62" ref="BF24:BF36">1000*AS24*$BD$89</f>
        <v>0</v>
      </c>
      <c r="BG24" s="116">
        <f aca="true" t="shared" si="63" ref="BG24:BG36">1000*AT24*$BD$89</f>
        <v>45.493582577350104</v>
      </c>
      <c r="BH24" s="1256">
        <f aca="true" t="shared" si="64" ref="BH24:BH36">1000*AU24*$BD$89</f>
        <v>21465.686552412626</v>
      </c>
      <c r="BI24" s="116">
        <f aca="true" t="shared" si="65" ref="BI24:BI36">1000*AV24*$BD$89</f>
        <v>1150.407893327012</v>
      </c>
      <c r="BJ24" s="117">
        <f aca="true" t="shared" si="66" ref="BJ24:BJ36">SUM(AZ24:BI24)</f>
        <v>119474.7189342466</v>
      </c>
      <c r="BK24" s="4">
        <f aca="true" t="shared" si="67" ref="BK24:BK36">100*BJ24/BJ$6</f>
        <v>5.16819207008659</v>
      </c>
      <c r="BL24" s="4" t="s">
        <v>94</v>
      </c>
      <c r="BM24" s="142"/>
      <c r="BN24" s="91"/>
    </row>
    <row r="25" spans="1:66" ht="12.75">
      <c r="A25" s="48" t="s">
        <v>24</v>
      </c>
      <c r="B25" s="49">
        <f>PMemission!B32*(B83)</f>
        <v>192.85835937499996</v>
      </c>
      <c r="C25" s="49">
        <f>PMemission!C32*(C83)</f>
        <v>53.312</v>
      </c>
      <c r="D25" s="49">
        <f>PMemission!D32*(D83)</f>
        <v>8.214400000000001</v>
      </c>
      <c r="E25" s="49">
        <f>PMemission!E32*(E83)</f>
        <v>0</v>
      </c>
      <c r="F25" s="49">
        <f>PMemission!F32*(F83)</f>
        <v>0</v>
      </c>
      <c r="G25" s="49">
        <f>PMemission!G32*(G83)</f>
        <v>0</v>
      </c>
      <c r="H25" s="49">
        <f>PMemission!H32*(H83)</f>
        <v>0</v>
      </c>
      <c r="I25" s="49">
        <f>PMemission!I32*(I83)</f>
        <v>10.234</v>
      </c>
      <c r="J25" s="49">
        <f>PMemission!J32*(J83)</f>
        <v>0</v>
      </c>
      <c r="K25" s="49">
        <f>PMemission!K32*(K83)</f>
        <v>0</v>
      </c>
      <c r="L25" s="1311">
        <f t="shared" si="44"/>
        <v>264.61875937499997</v>
      </c>
      <c r="M25" s="26"/>
      <c r="N25" s="729">
        <f>PMemission!N32*(N83)</f>
        <v>205.0892663574219</v>
      </c>
      <c r="O25" s="729">
        <f>PMemission!O32*(O83)</f>
        <v>177.165625</v>
      </c>
      <c r="P25" s="729">
        <f>PMemission!P32*(P83)</f>
        <v>327.575625</v>
      </c>
      <c r="Q25" s="732">
        <f>PMemission!Q32*(Q83)</f>
        <v>0</v>
      </c>
      <c r="R25" s="732">
        <f>PMemission!R32*(R83)</f>
        <v>0</v>
      </c>
      <c r="S25" s="732">
        <f>PMemission!S32*(S83)</f>
        <v>0</v>
      </c>
      <c r="T25" s="732">
        <f>PMemission!T32*(T83)</f>
        <v>0</v>
      </c>
      <c r="U25" s="732">
        <f>PMemission!U32*(U83)</f>
        <v>0</v>
      </c>
      <c r="V25" s="732">
        <f>PMemission!V32*(V83)</f>
        <v>0</v>
      </c>
      <c r="W25" s="732">
        <f>PMemission!W32*(W83)</f>
        <v>0</v>
      </c>
      <c r="X25" s="1311">
        <f t="shared" si="45"/>
        <v>709.8305163574219</v>
      </c>
      <c r="Y25" s="663"/>
      <c r="Z25" s="732">
        <f>PMemission!Z32*(Z83)</f>
        <v>1.0438</v>
      </c>
      <c r="AA25" s="732">
        <f>PMemission!AA32*(AA83)</f>
        <v>0</v>
      </c>
      <c r="AB25" s="732">
        <f>PMemission!AB32*(AB83)</f>
        <v>4.107200000000001</v>
      </c>
      <c r="AC25" s="732">
        <f>PMemission!AC32*(AC83)</f>
        <v>5.5522</v>
      </c>
      <c r="AD25" s="732">
        <f>PMemission!AD32*(AD83)</f>
        <v>0</v>
      </c>
      <c r="AE25" s="732">
        <f>PMemission!AE32*(AE83)</f>
        <v>0</v>
      </c>
      <c r="AF25" s="732">
        <f>PMemission!AF32*(AF83)</f>
        <v>0</v>
      </c>
      <c r="AG25" s="732">
        <f>PMemission!AG32*(AG83)</f>
        <v>0.49979999999999997</v>
      </c>
      <c r="AH25" s="732">
        <f>PMemission!AH32*(AH83)</f>
        <v>0</v>
      </c>
      <c r="AI25" s="732">
        <f>PMemission!AI32*(AI83)</f>
        <v>0</v>
      </c>
      <c r="AJ25" s="1309">
        <f t="shared" si="46"/>
        <v>11.203000000000001</v>
      </c>
      <c r="AK25" s="663"/>
      <c r="AL25" s="1262" t="s">
        <v>24</v>
      </c>
      <c r="AM25" s="154">
        <f ca="1" t="shared" si="47"/>
        <v>385.33535952496715</v>
      </c>
      <c r="AN25" s="154">
        <f ca="1" t="shared" si="48"/>
        <v>222.58919055417383</v>
      </c>
      <c r="AO25" s="154">
        <f ca="1" t="shared" si="49"/>
        <v>328.2637444062516</v>
      </c>
      <c r="AP25" s="154">
        <f ca="1" t="shared" si="50"/>
        <v>5.362167819088226</v>
      </c>
      <c r="AQ25" s="154">
        <f ca="1" t="shared" si="51"/>
        <v>0</v>
      </c>
      <c r="AR25" s="154">
        <f ca="1" t="shared" si="52"/>
        <v>0</v>
      </c>
      <c r="AS25" s="154">
        <f ca="1" t="shared" si="53"/>
        <v>0</v>
      </c>
      <c r="AT25" s="154">
        <f ca="1" t="shared" si="54"/>
        <v>10.366419966234862</v>
      </c>
      <c r="AU25" s="154">
        <f ca="1">AU$21*(Mtoe!$AI39/Mtoe!$AI$35)</f>
        <v>592.5298211859604</v>
      </c>
      <c r="AV25" s="154">
        <f ca="1">AV$21*(Mtoe!$AJ39/Mtoe!$AJ$35)</f>
        <v>263.6524045220423</v>
      </c>
      <c r="AW25" s="117">
        <f ca="1" t="shared" si="55"/>
        <v>1808.0991079787182</v>
      </c>
      <c r="AX25" s="26"/>
      <c r="AY25" s="78" t="s">
        <v>24</v>
      </c>
      <c r="AZ25" s="116">
        <f ca="1" t="shared" si="56"/>
        <v>20715.54154484937</v>
      </c>
      <c r="BA25" s="116">
        <f ca="1" t="shared" si="57"/>
        <v>11966.344407229555</v>
      </c>
      <c r="BB25" s="116">
        <f ca="1" t="shared" si="58"/>
        <v>17647.38445830304</v>
      </c>
      <c r="BC25" s="116">
        <f ca="1" t="shared" si="59"/>
        <v>288.2689259654595</v>
      </c>
      <c r="BD25" s="116">
        <f ca="1" t="shared" si="60"/>
        <v>0</v>
      </c>
      <c r="BE25" s="116">
        <f ca="1" t="shared" si="61"/>
        <v>0</v>
      </c>
      <c r="BF25" s="116">
        <f ca="1" t="shared" si="62"/>
        <v>0</v>
      </c>
      <c r="BG25" s="116">
        <f ca="1" t="shared" si="63"/>
        <v>557.2963865725387</v>
      </c>
      <c r="BH25" s="1256">
        <f ca="1" t="shared" si="64"/>
        <v>31854.268817872704</v>
      </c>
      <c r="BI25" s="116">
        <f ca="1" t="shared" si="65"/>
        <v>14173.89347816111</v>
      </c>
      <c r="BJ25" s="117">
        <f ca="1" t="shared" si="66"/>
        <v>97202.99801895377</v>
      </c>
      <c r="BK25" s="4">
        <f ca="1" t="shared" si="67"/>
        <v>4.204770415293276</v>
      </c>
      <c r="BL25" s="4" t="s">
        <v>94</v>
      </c>
      <c r="BM25" s="142"/>
      <c r="BN25" s="91"/>
    </row>
    <row r="26" spans="1:66" ht="12.75">
      <c r="A26" s="48" t="s">
        <v>25</v>
      </c>
      <c r="B26" s="49">
        <f>PMemission!B33*(B84)</f>
        <v>54.02546875</v>
      </c>
      <c r="C26" s="49">
        <f>PMemission!C33*(C84)</f>
        <v>0</v>
      </c>
      <c r="D26" s="49">
        <f>PMemission!D33*(D84)</f>
        <v>1.0472000000000001</v>
      </c>
      <c r="E26" s="49">
        <f>PMemission!E33*(E84)</f>
        <v>0</v>
      </c>
      <c r="F26" s="49">
        <f>PMemission!F33*(F84)</f>
        <v>0</v>
      </c>
      <c r="G26" s="49">
        <f>PMemission!G33*(G84)</f>
        <v>0</v>
      </c>
      <c r="H26" s="49">
        <f>PMemission!H33*(H84)</f>
        <v>0</v>
      </c>
      <c r="I26" s="49">
        <f>PMemission!I33*(I84)</f>
        <v>1.0442857142857143</v>
      </c>
      <c r="J26" s="49">
        <f>PMemission!J33*(J84)</f>
        <v>0</v>
      </c>
      <c r="K26" s="49">
        <f>PMemission!K33*(K84)</f>
        <v>0</v>
      </c>
      <c r="L26" s="1311">
        <f t="shared" si="44"/>
        <v>56.11695446428572</v>
      </c>
      <c r="M26" s="26"/>
      <c r="N26" s="729">
        <f>PMemission!N33*(N84)</f>
        <v>28.725858154296883</v>
      </c>
      <c r="O26" s="729">
        <f>PMemission!O33*(O84)</f>
        <v>0</v>
      </c>
      <c r="P26" s="729">
        <f>PMemission!P33*(P84)</f>
        <v>41.76046875</v>
      </c>
      <c r="Q26" s="732">
        <f>PMemission!Q33*(Q84)</f>
        <v>0</v>
      </c>
      <c r="R26" s="732">
        <f>PMemission!R33*(R84)</f>
        <v>0</v>
      </c>
      <c r="S26" s="732">
        <f>PMemission!S33*(S84)</f>
        <v>0</v>
      </c>
      <c r="T26" s="732">
        <f>PMemission!T33*(T84)</f>
        <v>0</v>
      </c>
      <c r="U26" s="732">
        <f>PMemission!U33*(U84)</f>
        <v>0</v>
      </c>
      <c r="V26" s="732">
        <f>PMemission!V33*(V84)</f>
        <v>0</v>
      </c>
      <c r="W26" s="732">
        <f>PMemission!W33*(W84)</f>
        <v>0</v>
      </c>
      <c r="X26" s="1311">
        <f t="shared" si="45"/>
        <v>70.48632690429689</v>
      </c>
      <c r="Y26" s="663"/>
      <c r="Z26" s="732">
        <f>PMemission!Z33*(Z84)</f>
        <v>0.2924</v>
      </c>
      <c r="AA26" s="732">
        <f>PMemission!AA33*(AA84)</f>
        <v>0</v>
      </c>
      <c r="AB26" s="732">
        <f>PMemission!AB33*(AB84)</f>
        <v>0.5236000000000001</v>
      </c>
      <c r="AC26" s="732">
        <f>PMemission!AC33*(AC84)</f>
        <v>0.9282</v>
      </c>
      <c r="AD26" s="732">
        <f>PMemission!AD33*(AD84)</f>
        <v>0</v>
      </c>
      <c r="AE26" s="732">
        <f>PMemission!AE33*(AE84)</f>
        <v>0</v>
      </c>
      <c r="AF26" s="732">
        <f>PMemission!AF33*(AF84)</f>
        <v>0</v>
      </c>
      <c r="AG26" s="732">
        <f>PMemission!AG33*(AG84)</f>
        <v>0.051</v>
      </c>
      <c r="AH26" s="732">
        <f>PMemission!AH33*(AH84)</f>
        <v>0</v>
      </c>
      <c r="AI26" s="732">
        <f>PMemission!AI33*(AI84)</f>
        <v>0</v>
      </c>
      <c r="AJ26" s="1309">
        <f t="shared" si="46"/>
        <v>1.7952000000000001</v>
      </c>
      <c r="AK26" s="663"/>
      <c r="AL26" s="1262" t="s">
        <v>25</v>
      </c>
      <c r="AM26" s="154">
        <f ca="1" t="shared" si="47"/>
        <v>80.20143366293935</v>
      </c>
      <c r="AN26" s="154">
        <f ca="1" t="shared" si="48"/>
        <v>0</v>
      </c>
      <c r="AO26" s="154">
        <f ca="1" t="shared" si="49"/>
        <v>41.84819258159168</v>
      </c>
      <c r="AP26" s="154">
        <f ca="1" t="shared" si="50"/>
        <v>0.8964309948628816</v>
      </c>
      <c r="AQ26" s="154">
        <f ca="1" t="shared" si="51"/>
        <v>0</v>
      </c>
      <c r="AR26" s="154">
        <f ca="1" t="shared" si="52"/>
        <v>0</v>
      </c>
      <c r="AS26" s="154">
        <f ca="1" t="shared" si="53"/>
        <v>0</v>
      </c>
      <c r="AT26" s="154">
        <f ca="1" t="shared" si="54"/>
        <v>1.057797955738251</v>
      </c>
      <c r="AU26" s="154">
        <f ca="1">AU$21*(Mtoe!$AI40/Mtoe!$AI$35)</f>
        <v>303.9870093433376</v>
      </c>
      <c r="AV26" s="154">
        <f ca="1">AV$21*(Mtoe!$AJ40/Mtoe!$AJ$35)</f>
        <v>7.2676007372079034</v>
      </c>
      <c r="AW26" s="117">
        <f ca="1" t="shared" si="55"/>
        <v>435.2584652756776</v>
      </c>
      <c r="AX26" s="26"/>
      <c r="AY26" s="78" t="s">
        <v>25</v>
      </c>
      <c r="AZ26" s="116">
        <f ca="1" t="shared" si="56"/>
        <v>4311.610886292028</v>
      </c>
      <c r="BA26" s="116">
        <f ca="1" t="shared" si="57"/>
        <v>0</v>
      </c>
      <c r="BB26" s="116">
        <f ca="1" t="shared" si="58"/>
        <v>2249.749343194262</v>
      </c>
      <c r="BC26" s="116">
        <f ca="1" t="shared" si="59"/>
        <v>48.191926998512216</v>
      </c>
      <c r="BD26" s="116">
        <f ca="1" t="shared" si="60"/>
        <v>0</v>
      </c>
      <c r="BE26" s="116">
        <f ca="1" t="shared" si="61"/>
        <v>0</v>
      </c>
      <c r="BF26" s="116">
        <f ca="1" t="shared" si="62"/>
        <v>0</v>
      </c>
      <c r="BG26" s="116">
        <f ca="1" t="shared" si="63"/>
        <v>56.86697822168762</v>
      </c>
      <c r="BH26" s="1256">
        <f ca="1" t="shared" si="64"/>
        <v>16342.27268660094</v>
      </c>
      <c r="BI26" s="116">
        <f ca="1" t="shared" si="65"/>
        <v>390.70456754502294</v>
      </c>
      <c r="BJ26" s="117">
        <f ca="1" t="shared" si="66"/>
        <v>23399.396388852456</v>
      </c>
      <c r="BK26" s="4">
        <f ca="1" t="shared" si="67"/>
        <v>1.012202212655849</v>
      </c>
      <c r="BL26" s="4" t="s">
        <v>94</v>
      </c>
      <c r="BM26" s="142"/>
      <c r="BN26" s="91"/>
    </row>
    <row r="27" spans="1:66" ht="12.75">
      <c r="A27" s="48" t="s">
        <v>26</v>
      </c>
      <c r="B27" s="49">
        <f>PMemission!B34*(B85)</f>
        <v>601.8185937499999</v>
      </c>
      <c r="C27" s="49">
        <f>PMemission!C34*(C85)</f>
        <v>0</v>
      </c>
      <c r="D27" s="49">
        <f>PMemission!D34*(D85)</f>
        <v>12.756800000000002</v>
      </c>
      <c r="E27" s="49">
        <f>PMemission!E34*(E85)</f>
        <v>0</v>
      </c>
      <c r="F27" s="49">
        <f>PMemission!F34*(F85)</f>
        <v>0</v>
      </c>
      <c r="G27" s="49">
        <f>PMemission!G34*(G85)</f>
        <v>0</v>
      </c>
      <c r="H27" s="49">
        <f>PMemission!H34*(H85)</f>
        <v>0</v>
      </c>
      <c r="I27" s="49">
        <f>PMemission!I34*(I85)</f>
        <v>63.283714285714275</v>
      </c>
      <c r="J27" s="49">
        <f>PMemission!J34*(J85)</f>
        <v>0</v>
      </c>
      <c r="K27" s="49">
        <f>PMemission!K34*(K85)</f>
        <v>0</v>
      </c>
      <c r="L27" s="1311">
        <f t="shared" si="44"/>
        <v>677.8591080357141</v>
      </c>
      <c r="M27" s="26"/>
      <c r="N27" s="729">
        <f>PMemission!N34*(N85)</f>
        <v>319.99269897460937</v>
      </c>
      <c r="O27" s="729">
        <f>PMemission!O34*(O85)</f>
        <v>0</v>
      </c>
      <c r="P27" s="729">
        <f>PMemission!P34*(P85)</f>
        <v>508.7184375</v>
      </c>
      <c r="Q27" s="732">
        <f>PMemission!Q34*(Q85)</f>
        <v>0</v>
      </c>
      <c r="R27" s="732">
        <f>PMemission!R34*(R85)</f>
        <v>0</v>
      </c>
      <c r="S27" s="732">
        <f>PMemission!S34*(S85)</f>
        <v>0</v>
      </c>
      <c r="T27" s="732">
        <f>PMemission!T34*(T85)</f>
        <v>0</v>
      </c>
      <c r="U27" s="732">
        <f>PMemission!U34*(U85)</f>
        <v>0</v>
      </c>
      <c r="V27" s="732">
        <f>PMemission!V34*(V85)</f>
        <v>0</v>
      </c>
      <c r="W27" s="732">
        <f>PMemission!W34*(W85)</f>
        <v>0</v>
      </c>
      <c r="X27" s="1311">
        <f t="shared" si="45"/>
        <v>828.7111364746094</v>
      </c>
      <c r="Y27" s="663"/>
      <c r="Z27" s="732">
        <f>PMemission!Z34*(Z85)</f>
        <v>3.2572</v>
      </c>
      <c r="AA27" s="732">
        <f>PMemission!AA34*(AA85)</f>
        <v>0</v>
      </c>
      <c r="AB27" s="732">
        <f>PMemission!AB34*(AB85)</f>
        <v>6.378400000000001</v>
      </c>
      <c r="AC27" s="732">
        <f>PMemission!AC34*(AC85)</f>
        <v>4.5934</v>
      </c>
      <c r="AD27" s="732">
        <f>PMemission!AD34*(AD85)</f>
        <v>0</v>
      </c>
      <c r="AE27" s="732">
        <f>PMemission!AE34*(AE85)</f>
        <v>0</v>
      </c>
      <c r="AF27" s="732">
        <f>PMemission!AF34*(AF85)</f>
        <v>0</v>
      </c>
      <c r="AG27" s="732">
        <f>PMemission!AG34*(AG85)</f>
        <v>7.7265</v>
      </c>
      <c r="AH27" s="732">
        <f>PMemission!AH34*(AH85)</f>
        <v>0</v>
      </c>
      <c r="AI27" s="732">
        <f>PMemission!AI34*(AI85)</f>
        <v>0</v>
      </c>
      <c r="AJ27" s="1309">
        <f t="shared" si="46"/>
        <v>21.9555</v>
      </c>
      <c r="AK27" s="663"/>
      <c r="AL27" s="1262" t="s">
        <v>26</v>
      </c>
      <c r="AM27" s="154">
        <f ca="1" t="shared" si="47"/>
        <v>893.4066680127429</v>
      </c>
      <c r="AN27" s="154">
        <f ca="1" t="shared" si="48"/>
        <v>0</v>
      </c>
      <c r="AO27" s="154">
        <f ca="1" t="shared" si="49"/>
        <v>509.7870732666623</v>
      </c>
      <c r="AP27" s="154">
        <f ca="1" t="shared" si="50"/>
        <v>4.436184154065029</v>
      </c>
      <c r="AQ27" s="154">
        <f ca="1" t="shared" si="51"/>
        <v>0</v>
      </c>
      <c r="AR27" s="154">
        <f ca="1" t="shared" si="52"/>
        <v>0</v>
      </c>
      <c r="AS27" s="154">
        <f ca="1" t="shared" si="53"/>
        <v>0</v>
      </c>
      <c r="AT27" s="154">
        <f ca="1" t="shared" si="54"/>
        <v>68.57978564702569</v>
      </c>
      <c r="AU27" s="154">
        <f ca="1">AU$21*(Mtoe!$AI41/Mtoe!$AI$35)</f>
        <v>264.8114839756708</v>
      </c>
      <c r="AV27" s="154">
        <f ca="1">AV$21*(Mtoe!$AJ41/Mtoe!$AJ$35)</f>
        <v>7.2676007372079034</v>
      </c>
      <c r="AW27" s="117">
        <f ca="1" t="shared" si="55"/>
        <v>1748.288795793375</v>
      </c>
      <c r="AX27" s="26"/>
      <c r="AY27" s="78" t="s">
        <v>26</v>
      </c>
      <c r="AZ27" s="116">
        <f ca="1" t="shared" si="56"/>
        <v>48029.339872880955</v>
      </c>
      <c r="BA27" s="116">
        <f ca="1" t="shared" si="57"/>
        <v>0</v>
      </c>
      <c r="BB27" s="116">
        <f ca="1" t="shared" si="58"/>
        <v>27406.03745345737</v>
      </c>
      <c r="BC27" s="116">
        <f ca="1" t="shared" si="59"/>
        <v>238.4882541208425</v>
      </c>
      <c r="BD27" s="116">
        <f ca="1" t="shared" si="60"/>
        <v>0</v>
      </c>
      <c r="BE27" s="116">
        <f ca="1" t="shared" si="61"/>
        <v>0</v>
      </c>
      <c r="BF27" s="116">
        <f ca="1" t="shared" si="62"/>
        <v>0</v>
      </c>
      <c r="BG27" s="116">
        <f ca="1" t="shared" si="63"/>
        <v>3686.8337244191453</v>
      </c>
      <c r="BH27" s="1256">
        <f ca="1" t="shared" si="64"/>
        <v>14236.205326741587</v>
      </c>
      <c r="BI27" s="116">
        <f ca="1" t="shared" si="65"/>
        <v>390.70456754502294</v>
      </c>
      <c r="BJ27" s="117">
        <f ca="1" t="shared" si="66"/>
        <v>93987.60919916492</v>
      </c>
      <c r="BK27" s="4">
        <f ca="1" t="shared" si="67"/>
        <v>4.065680345453283</v>
      </c>
      <c r="BL27" s="4" t="s">
        <v>94</v>
      </c>
      <c r="BM27" s="142"/>
      <c r="BN27" s="91"/>
    </row>
    <row r="28" spans="1:66" ht="12.75">
      <c r="A28" s="48" t="s">
        <v>27</v>
      </c>
      <c r="B28" s="49">
        <f>PMemission!B35*(B86)</f>
        <v>16.444140625</v>
      </c>
      <c r="C28" s="49">
        <f>PMemission!C35*(C86)</f>
        <v>0</v>
      </c>
      <c r="D28" s="49">
        <f>PMemission!D35*(D86)</f>
        <v>0.7654000000000001</v>
      </c>
      <c r="E28" s="49">
        <f>PMemission!E35*(E86)</f>
        <v>0</v>
      </c>
      <c r="F28" s="49">
        <f>PMemission!F35*(F86)</f>
        <v>0</v>
      </c>
      <c r="G28" s="49">
        <f>PMemission!G35*(G86)</f>
        <v>0</v>
      </c>
      <c r="H28" s="49">
        <f>PMemission!H35*(H86)</f>
        <v>0</v>
      </c>
      <c r="I28" s="49">
        <f>PMemission!I35*(I86)</f>
        <v>0</v>
      </c>
      <c r="J28" s="49">
        <f>PMemission!J35*(J86)</f>
        <v>0</v>
      </c>
      <c r="K28" s="49">
        <f>PMemission!K35*(K86)</f>
        <v>0</v>
      </c>
      <c r="L28" s="1311">
        <f t="shared" si="44"/>
        <v>17.209540625</v>
      </c>
      <c r="M28" s="26"/>
      <c r="N28" s="729">
        <f>PMemission!N35*(N86)</f>
        <v>6.680432128906251</v>
      </c>
      <c r="O28" s="729">
        <f>PMemission!O35*(O86)</f>
        <v>0</v>
      </c>
      <c r="P28" s="729">
        <f>PMemission!P35*(P86)</f>
        <v>15.5471875</v>
      </c>
      <c r="Q28" s="732">
        <f>PMemission!Q35*(Q86)</f>
        <v>0</v>
      </c>
      <c r="R28" s="732">
        <f>PMemission!R35*(R86)</f>
        <v>0</v>
      </c>
      <c r="S28" s="732">
        <f>PMemission!S35*(S86)</f>
        <v>0</v>
      </c>
      <c r="T28" s="732">
        <f>PMemission!T35*(T86)</f>
        <v>0</v>
      </c>
      <c r="U28" s="732">
        <f>PMemission!U35*(U86)</f>
        <v>0</v>
      </c>
      <c r="V28" s="732">
        <f>PMemission!V35*(V86)</f>
        <v>0</v>
      </c>
      <c r="W28" s="732">
        <f>PMemission!W35*(W86)</f>
        <v>0</v>
      </c>
      <c r="X28" s="1311">
        <f t="shared" si="45"/>
        <v>22.22761962890625</v>
      </c>
      <c r="Y28" s="663"/>
      <c r="Z28" s="732">
        <f>PMemission!Z35*(Z86)</f>
        <v>0.22250000000000003</v>
      </c>
      <c r="AA28" s="732">
        <f>PMemission!AA35*(AA86)</f>
        <v>0</v>
      </c>
      <c r="AB28" s="732">
        <f>PMemission!AB35*(AB86)</f>
        <v>0.38270000000000004</v>
      </c>
      <c r="AC28" s="732">
        <f>PMemission!AC35*(AC86)</f>
        <v>1.1080500000000002</v>
      </c>
      <c r="AD28" s="732">
        <f>PMemission!AD35*(AD86)</f>
        <v>0</v>
      </c>
      <c r="AE28" s="732">
        <f>PMemission!AE35*(AE86)</f>
        <v>0</v>
      </c>
      <c r="AF28" s="732">
        <f>PMemission!AF35*(AF86)</f>
        <v>0</v>
      </c>
      <c r="AG28" s="732">
        <f>PMemission!AG35*(AG86)</f>
        <v>0</v>
      </c>
      <c r="AH28" s="732">
        <f>PMemission!AH35*(AH86)</f>
        <v>0</v>
      </c>
      <c r="AI28" s="732">
        <f>PMemission!AI35*(AI86)</f>
        <v>0</v>
      </c>
      <c r="AJ28" s="1309">
        <f t="shared" si="46"/>
        <v>1.7132500000000004</v>
      </c>
      <c r="AK28" s="663"/>
      <c r="AL28" s="1262" t="s">
        <v>27</v>
      </c>
      <c r="AM28" s="154">
        <f ca="1" t="shared" si="47"/>
        <v>22.547984977289655</v>
      </c>
      <c r="AN28" s="154">
        <f ca="1" t="shared" si="48"/>
        <v>0</v>
      </c>
      <c r="AO28" s="154">
        <f ca="1" t="shared" si="49"/>
        <v>16.12386682088648</v>
      </c>
      <c r="AP28" s="154">
        <f ca="1" t="shared" si="50"/>
        <v>1.07012536506983</v>
      </c>
      <c r="AQ28" s="154">
        <f ca="1" t="shared" si="51"/>
        <v>0</v>
      </c>
      <c r="AR28" s="154">
        <f ca="1" t="shared" si="52"/>
        <v>0</v>
      </c>
      <c r="AS28" s="154">
        <f ca="1" t="shared" si="53"/>
        <v>0</v>
      </c>
      <c r="AT28" s="154">
        <f ca="1" t="shared" si="54"/>
        <v>0</v>
      </c>
      <c r="AU28" s="154">
        <f ca="1">AU$21*(Mtoe!$AI42/Mtoe!$AI$35)</f>
        <v>154.06528726322804</v>
      </c>
      <c r="AV28" s="154">
        <f ca="1">AV$21*(Mtoe!$AJ42/Mtoe!$AJ$35)</f>
        <v>25.032846983716116</v>
      </c>
      <c r="AW28" s="117">
        <f ca="1" t="shared" si="55"/>
        <v>218.84011141019013</v>
      </c>
      <c r="AX28" s="26"/>
      <c r="AY28" s="78" t="s">
        <v>27</v>
      </c>
      <c r="AZ28" s="116">
        <f ca="1" t="shared" si="56"/>
        <v>1212.1745591307947</v>
      </c>
      <c r="BA28" s="116">
        <f ca="1" t="shared" si="57"/>
        <v>0</v>
      </c>
      <c r="BB28" s="116">
        <f ca="1" t="shared" si="58"/>
        <v>866.8154238517275</v>
      </c>
      <c r="BC28" s="116">
        <f ca="1" t="shared" si="59"/>
        <v>57.52969695184386</v>
      </c>
      <c r="BD28" s="116">
        <f ca="1" t="shared" si="60"/>
        <v>0</v>
      </c>
      <c r="BE28" s="116">
        <f ca="1" t="shared" si="61"/>
        <v>0</v>
      </c>
      <c r="BF28" s="116">
        <f ca="1" t="shared" si="62"/>
        <v>0</v>
      </c>
      <c r="BG28" s="116">
        <f ca="1" t="shared" si="63"/>
        <v>0</v>
      </c>
      <c r="BH28" s="1256">
        <f ca="1" t="shared" si="64"/>
        <v>8282.51490560072</v>
      </c>
      <c r="BI28" s="116">
        <f ca="1" t="shared" si="65"/>
        <v>1345.7601770995238</v>
      </c>
      <c r="BJ28" s="117">
        <f ca="1" t="shared" si="66"/>
        <v>11764.79476263461</v>
      </c>
      <c r="BK28" s="4">
        <f ca="1" t="shared" si="67"/>
        <v>0.5089170289817335</v>
      </c>
      <c r="BL28" s="4" t="s">
        <v>94</v>
      </c>
      <c r="BM28" s="142"/>
      <c r="BN28" s="91"/>
    </row>
    <row r="29" spans="1:66" ht="12.75">
      <c r="A29" s="48" t="s">
        <v>28</v>
      </c>
      <c r="B29" s="49">
        <f>PMemission!B36*(B87)</f>
        <v>23.021796875000003</v>
      </c>
      <c r="C29" s="49">
        <f>PMemission!C36*(C87)</f>
        <v>0</v>
      </c>
      <c r="D29" s="49">
        <f>PMemission!D36*(D87)</f>
        <v>3.1506000000000003</v>
      </c>
      <c r="E29" s="49">
        <f>PMemission!E36*(E87)</f>
        <v>0</v>
      </c>
      <c r="F29" s="49">
        <f>PMemission!F36*(F87)</f>
        <v>0</v>
      </c>
      <c r="G29" s="49">
        <f>PMemission!G36*(G87)</f>
        <v>0</v>
      </c>
      <c r="H29" s="49">
        <f>PMemission!H36*(H87)</f>
        <v>0</v>
      </c>
      <c r="I29" s="49">
        <f>PMemission!I36*(I87)</f>
        <v>1.9135000000000002</v>
      </c>
      <c r="J29" s="49">
        <f>PMemission!J36*(J87)</f>
        <v>0</v>
      </c>
      <c r="K29" s="49">
        <f>PMemission!K36*(K87)</f>
        <v>0</v>
      </c>
      <c r="L29" s="1311">
        <f t="shared" si="44"/>
        <v>28.085896875000003</v>
      </c>
      <c r="M29" s="26"/>
      <c r="N29" s="732">
        <f>PMemission!N36*(N87)</f>
        <v>9.352604980468751</v>
      </c>
      <c r="O29" s="732">
        <f>PMemission!O36*(O87)</f>
        <v>0</v>
      </c>
      <c r="P29" s="732">
        <f>PMemission!P36*(P87)</f>
        <v>63.9965625</v>
      </c>
      <c r="Q29" s="732">
        <f>PMemission!Q36*(Q87)</f>
        <v>0</v>
      </c>
      <c r="R29" s="732">
        <f>PMemission!R36*(R87)</f>
        <v>0</v>
      </c>
      <c r="S29" s="732">
        <f>PMemission!S36*(S87)</f>
        <v>0</v>
      </c>
      <c r="T29" s="732">
        <f>PMemission!T36*(T87)</f>
        <v>0</v>
      </c>
      <c r="U29" s="732">
        <f>PMemission!U36*(U87)</f>
        <v>0</v>
      </c>
      <c r="V29" s="732">
        <f>PMemission!V36*(V87)</f>
        <v>0</v>
      </c>
      <c r="W29" s="732">
        <f>PMemission!W36*(W87)</f>
        <v>0</v>
      </c>
      <c r="X29" s="1311">
        <f t="shared" si="45"/>
        <v>73.34916748046875</v>
      </c>
      <c r="Y29" s="663"/>
      <c r="Z29" s="732">
        <f>PMemission!Z36*(Z87)</f>
        <v>0.31150000000000005</v>
      </c>
      <c r="AA29" s="732">
        <f>PMemission!AA36*(AA87)</f>
        <v>0</v>
      </c>
      <c r="AB29" s="732">
        <f>PMemission!AB36*(AB87)</f>
        <v>1.5753000000000001</v>
      </c>
      <c r="AC29" s="732">
        <f>PMemission!AC36*(AC87)</f>
        <v>2.8613500000000003</v>
      </c>
      <c r="AD29" s="732">
        <f>PMemission!AD36*(AD87)</f>
        <v>0</v>
      </c>
      <c r="AE29" s="732">
        <f>PMemission!AE36*(AE87)</f>
        <v>0</v>
      </c>
      <c r="AF29" s="732">
        <f>PMemission!AF36*(AF87)</f>
        <v>0</v>
      </c>
      <c r="AG29" s="732">
        <f>PMemission!AG36*(AG87)</f>
        <v>0.23362500000000003</v>
      </c>
      <c r="AH29" s="732">
        <f>PMemission!AH36*(AH87)</f>
        <v>0</v>
      </c>
      <c r="AI29" s="732">
        <f>PMemission!AI36*(AI87)</f>
        <v>0</v>
      </c>
      <c r="AJ29" s="1309">
        <f t="shared" si="46"/>
        <v>4.981775000000001</v>
      </c>
      <c r="AK29" s="663"/>
      <c r="AL29" s="1262" t="s">
        <v>28</v>
      </c>
      <c r="AM29" s="154">
        <f ca="1" t="shared" si="47"/>
        <v>31.56717896820552</v>
      </c>
      <c r="AN29" s="154">
        <f ca="1" t="shared" si="48"/>
        <v>0</v>
      </c>
      <c r="AO29" s="154">
        <f ca="1" t="shared" si="49"/>
        <v>66.37033551853273</v>
      </c>
      <c r="AP29" s="154">
        <f ca="1" t="shared" si="50"/>
        <v>2.763416103373095</v>
      </c>
      <c r="AQ29" s="154">
        <f ca="1" t="shared" si="51"/>
        <v>0</v>
      </c>
      <c r="AR29" s="154">
        <f ca="1" t="shared" si="52"/>
        <v>0</v>
      </c>
      <c r="AS29" s="154">
        <f ca="1" t="shared" si="53"/>
        <v>0</v>
      </c>
      <c r="AT29" s="154">
        <f ca="1" t="shared" si="54"/>
        <v>2.0736365005871202</v>
      </c>
      <c r="AU29" s="154">
        <f ca="1">AU$21*(Mtoe!$AI43/Mtoe!$AI$35)</f>
        <v>323.574772027171</v>
      </c>
      <c r="AV29" s="154">
        <f ca="1">AV$21*(Mtoe!$AJ43/Mtoe!$AJ$35)</f>
        <v>21.399046615112162</v>
      </c>
      <c r="AW29" s="117">
        <f ca="1" t="shared" si="55"/>
        <v>447.7483857329816</v>
      </c>
      <c r="AX29" s="26"/>
      <c r="AY29" s="78" t="s">
        <v>28</v>
      </c>
      <c r="AZ29" s="116">
        <f ca="1" t="shared" si="56"/>
        <v>1697.0443827831127</v>
      </c>
      <c r="BA29" s="116">
        <f ca="1" t="shared" si="57"/>
        <v>0</v>
      </c>
      <c r="BB29" s="116">
        <f ca="1" t="shared" si="58"/>
        <v>3568.0541865524597</v>
      </c>
      <c r="BC29" s="116">
        <f ca="1" t="shared" si="59"/>
        <v>148.5606230523518</v>
      </c>
      <c r="BD29" s="116">
        <f ca="1" t="shared" si="60"/>
        <v>0</v>
      </c>
      <c r="BE29" s="116">
        <f ca="1" t="shared" si="61"/>
        <v>0</v>
      </c>
      <c r="BF29" s="116">
        <f ca="1" t="shared" si="62"/>
        <v>0</v>
      </c>
      <c r="BG29" s="116">
        <f ca="1" t="shared" si="63"/>
        <v>111.47822802917536</v>
      </c>
      <c r="BH29" s="1256">
        <f ca="1" t="shared" si="64"/>
        <v>17395.306366530614</v>
      </c>
      <c r="BI29" s="116">
        <f ca="1" t="shared" si="65"/>
        <v>1150.407893327012</v>
      </c>
      <c r="BJ29" s="117">
        <f ca="1" t="shared" si="66"/>
        <v>24070.851680274725</v>
      </c>
      <c r="BK29" s="4">
        <f ca="1" t="shared" si="67"/>
        <v>1.0412477709421681</v>
      </c>
      <c r="BL29" s="4" t="s">
        <v>94</v>
      </c>
      <c r="BM29" s="142"/>
      <c r="BN29" s="91"/>
    </row>
    <row r="30" spans="1:66" ht="12.75">
      <c r="A30" s="48" t="s">
        <v>29</v>
      </c>
      <c r="B30" s="49">
        <f>PMemission!B37*(B88)</f>
        <v>24.573828125</v>
      </c>
      <c r="C30" s="49">
        <f>PMemission!C37*(C88)</f>
        <v>0</v>
      </c>
      <c r="D30" s="49">
        <f>PMemission!D37*(D88)</f>
        <v>0.5548</v>
      </c>
      <c r="E30" s="49">
        <f>PMemission!E37*(E88)</f>
        <v>0</v>
      </c>
      <c r="F30" s="49">
        <f>PMemission!F37*(F88)</f>
        <v>0</v>
      </c>
      <c r="G30" s="49">
        <f>PMemission!G37*(G88)</f>
        <v>0</v>
      </c>
      <c r="H30" s="49">
        <f>PMemission!H37*(H88)</f>
        <v>0</v>
      </c>
      <c r="I30" s="49">
        <f>PMemission!I37*(I88)</f>
        <v>0.5835714285714286</v>
      </c>
      <c r="J30" s="49">
        <f>PMemission!J37*(J88)</f>
        <v>0</v>
      </c>
      <c r="K30" s="49">
        <f>PMemission!K37*(K88)</f>
        <v>0</v>
      </c>
      <c r="L30" s="1311">
        <f t="shared" si="44"/>
        <v>25.712199553571427</v>
      </c>
      <c r="M30" s="26"/>
      <c r="N30" s="732">
        <f>PMemission!N37*(N88)</f>
        <v>9.352604980468751</v>
      </c>
      <c r="O30" s="732">
        <f>PMemission!O37*(O88)</f>
        <v>0</v>
      </c>
      <c r="P30" s="732">
        <f>PMemission!P37*(P88)</f>
        <v>5.2788125</v>
      </c>
      <c r="Q30" s="732">
        <f>PMemission!Q37*(Q88)</f>
        <v>0</v>
      </c>
      <c r="R30" s="732">
        <f>PMemission!R37*(R88)</f>
        <v>0</v>
      </c>
      <c r="S30" s="732">
        <f>PMemission!S37*(S88)</f>
        <v>0</v>
      </c>
      <c r="T30" s="732">
        <f>PMemission!T37*(T88)</f>
        <v>0</v>
      </c>
      <c r="U30" s="732">
        <f>PMemission!U37*(U88)</f>
        <v>0</v>
      </c>
      <c r="V30" s="732">
        <f>PMemission!V37*(V88)</f>
        <v>0</v>
      </c>
      <c r="W30" s="732">
        <f>PMemission!W37*(W88)</f>
        <v>0</v>
      </c>
      <c r="X30" s="1311">
        <f t="shared" si="45"/>
        <v>14.631417480468752</v>
      </c>
      <c r="Y30" s="663"/>
      <c r="Z30" s="732">
        <f>PMemission!Z37*(Z88)</f>
        <v>0.133</v>
      </c>
      <c r="AA30" s="732">
        <f>PMemission!AA37*(AA88)</f>
        <v>0</v>
      </c>
      <c r="AB30" s="732">
        <f>PMemission!AB37*(AB88)</f>
        <v>0.2774</v>
      </c>
      <c r="AC30" s="732">
        <f>PMemission!AC37*(AC88)</f>
        <v>0.0874</v>
      </c>
      <c r="AD30" s="732">
        <f>PMemission!AD37*(AD88)</f>
        <v>0</v>
      </c>
      <c r="AE30" s="732">
        <f>PMemission!AE37*(AE88)</f>
        <v>0</v>
      </c>
      <c r="AF30" s="732">
        <f>PMemission!AF37*(AF88)</f>
        <v>0</v>
      </c>
      <c r="AG30" s="732">
        <f>PMemission!AG37*(AG88)</f>
        <v>0.028499999999999998</v>
      </c>
      <c r="AH30" s="732">
        <f>PMemission!AH37*(AH88)</f>
        <v>0</v>
      </c>
      <c r="AI30" s="732">
        <f>PMemission!AI37*(AI88)</f>
        <v>0</v>
      </c>
      <c r="AJ30" s="1309">
        <f t="shared" si="46"/>
        <v>0.5263</v>
      </c>
      <c r="AK30" s="663"/>
      <c r="AL30" s="1262" t="s">
        <v>29</v>
      </c>
      <c r="AM30" s="154">
        <f ca="1" t="shared" si="47"/>
        <v>32.89369909847136</v>
      </c>
      <c r="AN30" s="154">
        <f ca="1" t="shared" si="48"/>
        <v>0</v>
      </c>
      <c r="AO30" s="154">
        <f ca="1" t="shared" si="49"/>
        <v>5.901854142420282</v>
      </c>
      <c r="AP30" s="154">
        <f ca="1" t="shared" si="50"/>
        <v>0.08440860692848078</v>
      </c>
      <c r="AQ30" s="154">
        <f ca="1" t="shared" si="51"/>
        <v>0</v>
      </c>
      <c r="AR30" s="154">
        <f ca="1" t="shared" si="52"/>
        <v>0</v>
      </c>
      <c r="AS30" s="154">
        <f ca="1" t="shared" si="53"/>
        <v>0</v>
      </c>
      <c r="AT30" s="154">
        <f ca="1" t="shared" si="54"/>
        <v>0.5911223870301993</v>
      </c>
      <c r="AU30" s="154">
        <f ca="1">AU$21*(Mtoe!$AI44/Mtoe!$AI$35)</f>
        <v>46.70928024606425</v>
      </c>
      <c r="AV30" s="154">
        <f ca="1">AV$21*(Mtoe!$AJ44/Mtoe!$AJ$35)</f>
        <v>6.460089544184804</v>
      </c>
      <c r="AW30" s="117">
        <f ca="1" t="shared" si="55"/>
        <v>92.64045402509939</v>
      </c>
      <c r="AX30" s="26"/>
      <c r="AY30" s="78" t="s">
        <v>29</v>
      </c>
      <c r="AZ30" s="116">
        <f ca="1" t="shared" si="56"/>
        <v>1768.357804168778</v>
      </c>
      <c r="BA30" s="116">
        <f ca="1" t="shared" si="57"/>
        <v>0</v>
      </c>
      <c r="BB30" s="116">
        <f ca="1" t="shared" si="58"/>
        <v>317.2823403221242</v>
      </c>
      <c r="BC30" s="116">
        <f ca="1" t="shared" si="59"/>
        <v>4.537787566979064</v>
      </c>
      <c r="BD30" s="116">
        <f ca="1" t="shared" si="60"/>
        <v>0</v>
      </c>
      <c r="BE30" s="116">
        <f ca="1" t="shared" si="61"/>
        <v>0</v>
      </c>
      <c r="BF30" s="116">
        <f ca="1" t="shared" si="62"/>
        <v>0</v>
      </c>
      <c r="BG30" s="116">
        <f ca="1" t="shared" si="63"/>
        <v>31.778605476825437</v>
      </c>
      <c r="BH30" s="1256">
        <f ca="1" t="shared" si="64"/>
        <v>2511.0803136784584</v>
      </c>
      <c r="BI30" s="116">
        <f ca="1" t="shared" si="65"/>
        <v>347.29294892890937</v>
      </c>
      <c r="BJ30" s="117">
        <f ca="1" t="shared" si="66"/>
        <v>4980.329800142074</v>
      </c>
      <c r="BK30" s="4">
        <f ca="1" t="shared" si="67"/>
        <v>0.2154372172549402</v>
      </c>
      <c r="BL30" s="4" t="s">
        <v>94</v>
      </c>
      <c r="BM30" s="142"/>
      <c r="BN30" s="91"/>
    </row>
    <row r="31" spans="1:66" ht="12.75">
      <c r="A31" s="48" t="s">
        <v>30</v>
      </c>
      <c r="B31" s="49">
        <f>PMemission!B38*(B89)</f>
        <v>194.74296875</v>
      </c>
      <c r="C31" s="49">
        <f>PMemission!C38*(C89)</f>
        <v>0</v>
      </c>
      <c r="D31" s="49">
        <f>PMemission!D38*(D89)</f>
        <v>4.488</v>
      </c>
      <c r="E31" s="49">
        <f>PMemission!E38*(E89)</f>
        <v>0</v>
      </c>
      <c r="F31" s="49">
        <f>PMemission!F38*(F89)</f>
        <v>0</v>
      </c>
      <c r="G31" s="49">
        <f>PMemission!G38*(G89)</f>
        <v>0</v>
      </c>
      <c r="H31" s="49">
        <f>PMemission!H38*(H89)</f>
        <v>0</v>
      </c>
      <c r="I31" s="49">
        <f>PMemission!I38*(I89)</f>
        <v>26.107142857142858</v>
      </c>
      <c r="J31" s="49">
        <f>PMemission!J38*(J89)</f>
        <v>0</v>
      </c>
      <c r="K31" s="49">
        <f>PMemission!K38*(K89)</f>
        <v>0</v>
      </c>
      <c r="L31" s="1311">
        <f t="shared" si="44"/>
        <v>225.33811160714285</v>
      </c>
      <c r="M31" s="26"/>
      <c r="N31" s="732">
        <f>PMemission!N38*(N89)</f>
        <v>103.5466979980469</v>
      </c>
      <c r="O31" s="732">
        <f>PMemission!O38*(O89)</f>
        <v>0</v>
      </c>
      <c r="P31" s="732">
        <f>PMemission!P38*(P89)</f>
        <v>23.863125</v>
      </c>
      <c r="Q31" s="732">
        <f>PMemission!Q38*(Q89)</f>
        <v>0</v>
      </c>
      <c r="R31" s="732">
        <f>PMemission!R38*(R89)</f>
        <v>0</v>
      </c>
      <c r="S31" s="732">
        <f>PMemission!S38*(S89)</f>
        <v>0</v>
      </c>
      <c r="T31" s="732">
        <f>PMemission!T38*(T89)</f>
        <v>0</v>
      </c>
      <c r="U31" s="732">
        <f>PMemission!U38*(U89)</f>
        <v>0</v>
      </c>
      <c r="V31" s="732">
        <f>PMemission!V38*(V89)</f>
        <v>0</v>
      </c>
      <c r="W31" s="732">
        <f>PMemission!W38*(W89)</f>
        <v>0</v>
      </c>
      <c r="X31" s="1311">
        <f t="shared" si="45"/>
        <v>127.40982299804689</v>
      </c>
      <c r="Y31" s="663"/>
      <c r="Z31" s="732">
        <f>PMemission!Z38*(Z89)</f>
        <v>5.27</v>
      </c>
      <c r="AA31" s="732">
        <f>PMemission!AA38*(AA89)</f>
        <v>0</v>
      </c>
      <c r="AB31" s="732">
        <f>PMemission!AB38*(AB89)</f>
        <v>2.244</v>
      </c>
      <c r="AC31" s="732">
        <f>PMemission!AC38*(AC89)</f>
        <v>3.8658</v>
      </c>
      <c r="AD31" s="732">
        <f>PMemission!AD38*(AD89)</f>
        <v>0</v>
      </c>
      <c r="AE31" s="732">
        <f>PMemission!AE38*(AE89)</f>
        <v>0</v>
      </c>
      <c r="AF31" s="732">
        <f>PMemission!AF38*(AF89)</f>
        <v>0</v>
      </c>
      <c r="AG31" s="732">
        <f>PMemission!AG38*(AG89)</f>
        <v>3.1875</v>
      </c>
      <c r="AH31" s="732">
        <f>PMemission!AH38*(AH89)</f>
        <v>0</v>
      </c>
      <c r="AI31" s="732">
        <f>PMemission!AI38*(AI89)</f>
        <v>0</v>
      </c>
      <c r="AJ31" s="1309">
        <f t="shared" si="46"/>
        <v>14.5673</v>
      </c>
      <c r="AK31" s="663"/>
      <c r="AL31" s="1262" t="s">
        <v>30</v>
      </c>
      <c r="AM31" s="154">
        <f ca="1" t="shared" si="47"/>
        <v>293.1698923326831</v>
      </c>
      <c r="AN31" s="154">
        <f ca="1" t="shared" si="48"/>
        <v>0</v>
      </c>
      <c r="AO31" s="154">
        <f ca="1" t="shared" si="49"/>
        <v>29.547962014333354</v>
      </c>
      <c r="AP31" s="154">
        <f ca="1" t="shared" si="50"/>
        <v>3.7334873302531</v>
      </c>
      <c r="AQ31" s="154">
        <f ca="1" t="shared" si="51"/>
        <v>0</v>
      </c>
      <c r="AR31" s="154">
        <f ca="1" t="shared" si="52"/>
        <v>0</v>
      </c>
      <c r="AS31" s="154">
        <f ca="1" t="shared" si="53"/>
        <v>0</v>
      </c>
      <c r="AT31" s="154">
        <f ca="1" t="shared" si="54"/>
        <v>28.291990778475956</v>
      </c>
      <c r="AU31" s="154">
        <f ca="1">AU$21*(Mtoe!$AI45/Mtoe!$AI$35)</f>
        <v>375.18099294419363</v>
      </c>
      <c r="AV31" s="154">
        <f ca="1">AV$21*(Mtoe!$AJ45/Mtoe!$AJ$35)</f>
        <v>37.95302607208572</v>
      </c>
      <c r="AW31" s="117">
        <f ca="1" t="shared" si="55"/>
        <v>767.8773514720249</v>
      </c>
      <c r="AX31" s="26"/>
      <c r="AY31" s="78" t="s">
        <v>30</v>
      </c>
      <c r="AZ31" s="116">
        <f ca="1" t="shared" si="56"/>
        <v>15760.746929125802</v>
      </c>
      <c r="BA31" s="116">
        <f ca="1" t="shared" si="57"/>
        <v>0</v>
      </c>
      <c r="BB31" s="116">
        <f ca="1" t="shared" si="58"/>
        <v>1588.491737244512</v>
      </c>
      <c r="BC31" s="116">
        <f ca="1" t="shared" si="59"/>
        <v>200.71143222457283</v>
      </c>
      <c r="BD31" s="116">
        <f ca="1" t="shared" si="60"/>
        <v>0</v>
      </c>
      <c r="BE31" s="116">
        <f ca="1" t="shared" si="61"/>
        <v>0</v>
      </c>
      <c r="BF31" s="116">
        <f ca="1" t="shared" si="62"/>
        <v>0</v>
      </c>
      <c r="BG31" s="116">
        <f ca="1" t="shared" si="63"/>
        <v>1520.9710084237406</v>
      </c>
      <c r="BH31" s="1256">
        <f ca="1" t="shared" si="64"/>
        <v>20169.645100191494</v>
      </c>
      <c r="BI31" s="116">
        <f ca="1" t="shared" si="65"/>
        <v>2040.3460749573421</v>
      </c>
      <c r="BJ31" s="117">
        <f ca="1" t="shared" si="66"/>
        <v>41280.91228216747</v>
      </c>
      <c r="BK31" s="4">
        <f ca="1" t="shared" si="67"/>
        <v>1.785714043989966</v>
      </c>
      <c r="BL31" s="4" t="s">
        <v>94</v>
      </c>
      <c r="BM31" s="142"/>
      <c r="BN31" s="91"/>
    </row>
    <row r="32" spans="1:66" ht="12.75">
      <c r="A32" s="48" t="s">
        <v>31</v>
      </c>
      <c r="B32" s="49">
        <f>PMemission!B39*(B90)</f>
        <v>14.699953124999999</v>
      </c>
      <c r="C32" s="49">
        <f>PMemission!C39*(C90)</f>
        <v>0</v>
      </c>
      <c r="D32" s="49">
        <f>PMemission!D39*(D90)</f>
        <v>2.0944000000000003</v>
      </c>
      <c r="E32" s="49">
        <f>PMemission!E39*(E90)</f>
        <v>0</v>
      </c>
      <c r="F32" s="49">
        <f>PMemission!F39*(F90)</f>
        <v>0</v>
      </c>
      <c r="G32" s="49">
        <f>PMemission!G39*(G90)</f>
        <v>0</v>
      </c>
      <c r="H32" s="49">
        <f>PMemission!H39*(H90)</f>
        <v>0</v>
      </c>
      <c r="I32" s="49">
        <f>PMemission!I39*(I90)</f>
        <v>23.036942857142858</v>
      </c>
      <c r="J32" s="49">
        <f>PMemission!J39*(J90)</f>
        <v>0</v>
      </c>
      <c r="K32" s="49">
        <f>PMemission!K39*(K90)</f>
        <v>0</v>
      </c>
      <c r="L32" s="1311">
        <f t="shared" si="44"/>
        <v>39.83129598214286</v>
      </c>
      <c r="M32" s="26"/>
      <c r="N32" s="732">
        <f>PMemission!N39*(N90)</f>
        <v>78.16105590820314</v>
      </c>
      <c r="O32" s="732">
        <f>PMemission!O39*(O90)</f>
        <v>0</v>
      </c>
      <c r="P32" s="732">
        <f>PMemission!P39*(P90)</f>
        <v>83.5209375</v>
      </c>
      <c r="Q32" s="732">
        <f>PMemission!Q39*(Q90)</f>
        <v>0</v>
      </c>
      <c r="R32" s="732">
        <f>PMemission!R39*(R90)</f>
        <v>0</v>
      </c>
      <c r="S32" s="732">
        <f>PMemission!S39*(S90)</f>
        <v>0</v>
      </c>
      <c r="T32" s="732">
        <f>PMemission!T39*(T90)</f>
        <v>0</v>
      </c>
      <c r="U32" s="732">
        <f>PMemission!U39*(U90)</f>
        <v>41.64647325892857</v>
      </c>
      <c r="V32" s="732">
        <f>PMemission!V39*(V90)</f>
        <v>0</v>
      </c>
      <c r="W32" s="732">
        <f>PMemission!W39*(W90)</f>
        <v>0</v>
      </c>
      <c r="X32" s="1311">
        <f t="shared" si="45"/>
        <v>203.32846666713172</v>
      </c>
      <c r="Y32" s="663"/>
      <c r="Z32" s="732">
        <f>PMemission!Z39*(Z90)</f>
        <v>0.07956</v>
      </c>
      <c r="AA32" s="732">
        <f>PMemission!AA39*(AA90)</f>
        <v>0</v>
      </c>
      <c r="AB32" s="732">
        <f>PMemission!AB39*(AB90)</f>
        <v>1.0472000000000001</v>
      </c>
      <c r="AC32" s="732">
        <f>PMemission!AC39*(AC90)</f>
        <v>2.5194</v>
      </c>
      <c r="AD32" s="732">
        <f>PMemission!AD39*(AD90)</f>
        <v>0</v>
      </c>
      <c r="AE32" s="732">
        <f>PMemission!AE39*(AE90)</f>
        <v>0</v>
      </c>
      <c r="AF32" s="732">
        <f>PMemission!AF39*(AF90)</f>
        <v>0</v>
      </c>
      <c r="AG32" s="732">
        <f>PMemission!AG39*(AG90)</f>
        <v>1.12506</v>
      </c>
      <c r="AH32" s="732">
        <f>PMemission!AH39*(AH90)</f>
        <v>0</v>
      </c>
      <c r="AI32" s="732">
        <f>PMemission!AI39*(AI90)</f>
        <v>0</v>
      </c>
      <c r="AJ32" s="1309">
        <f t="shared" si="46"/>
        <v>4.77122</v>
      </c>
      <c r="AK32" s="663"/>
      <c r="AL32" s="1262" t="s">
        <v>31</v>
      </c>
      <c r="AM32" s="154">
        <f ca="1" t="shared" si="47"/>
        <v>89.75954186765418</v>
      </c>
      <c r="AN32" s="154">
        <f ca="1" t="shared" si="48"/>
        <v>0</v>
      </c>
      <c r="AO32" s="154">
        <f ca="1" t="shared" si="49"/>
        <v>83.69638516318336</v>
      </c>
      <c r="AP32" s="154">
        <f ca="1" t="shared" si="50"/>
        <v>2.43316984319925</v>
      </c>
      <c r="AQ32" s="154">
        <f ca="1" t="shared" si="51"/>
        <v>0</v>
      </c>
      <c r="AR32" s="154">
        <f ca="1" t="shared" si="52"/>
        <v>0</v>
      </c>
      <c r="AS32" s="154">
        <f ca="1" t="shared" si="53"/>
        <v>0</v>
      </c>
      <c r="AT32" s="154">
        <f ca="1" t="shared" si="54"/>
        <v>63.55608458860169</v>
      </c>
      <c r="AU32" s="154">
        <f ca="1">AU$21*(Mtoe!$AI46/Mtoe!$AI$35)</f>
        <v>427.5405893490559</v>
      </c>
      <c r="AV32" s="154">
        <f ca="1">AV$21*(Mtoe!$AJ46/Mtoe!$AJ$35)</f>
        <v>79.94360810928694</v>
      </c>
      <c r="AW32" s="117">
        <f ca="1" t="shared" si="55"/>
        <v>746.9293789209813</v>
      </c>
      <c r="AX32" s="26"/>
      <c r="AY32" s="78" t="s">
        <v>31</v>
      </c>
      <c r="AZ32" s="116">
        <f ca="1" t="shared" si="56"/>
        <v>4825.4526158676035</v>
      </c>
      <c r="BA32" s="116">
        <f ca="1" t="shared" si="57"/>
        <v>0</v>
      </c>
      <c r="BB32" s="116">
        <f ca="1" t="shared" si="58"/>
        <v>4499.498686388524</v>
      </c>
      <c r="BC32" s="116">
        <f ca="1" t="shared" si="59"/>
        <v>130.80665899596173</v>
      </c>
      <c r="BD32" s="116">
        <f ca="1" t="shared" si="60"/>
        <v>0</v>
      </c>
      <c r="BE32" s="116">
        <f ca="1" t="shared" si="61"/>
        <v>0</v>
      </c>
      <c r="BF32" s="116">
        <f ca="1" t="shared" si="62"/>
        <v>0</v>
      </c>
      <c r="BG32" s="116">
        <f ca="1" t="shared" si="63"/>
        <v>3416.760694752261</v>
      </c>
      <c r="BH32" s="1256">
        <f ca="1" t="shared" si="64"/>
        <v>22984.485129234276</v>
      </c>
      <c r="BI32" s="116">
        <f ca="1" t="shared" si="65"/>
        <v>4297.750242995253</v>
      </c>
      <c r="BJ32" s="117">
        <f ca="1" t="shared" si="66"/>
        <v>40154.75402823388</v>
      </c>
      <c r="BK32" s="4">
        <f ca="1" t="shared" si="67"/>
        <v>1.7369991174384727</v>
      </c>
      <c r="BL32" s="4" t="s">
        <v>94</v>
      </c>
      <c r="BM32" s="142"/>
      <c r="BN32" s="91"/>
    </row>
    <row r="33" spans="1:66" ht="12.75">
      <c r="A33" s="48" t="s">
        <v>32</v>
      </c>
      <c r="B33" s="49">
        <f>PMemission!B40*(B91)</f>
        <v>55.91007812500001</v>
      </c>
      <c r="C33" s="49">
        <f>PMemission!C40*(C91)</f>
        <v>0</v>
      </c>
      <c r="D33" s="49">
        <f>PMemission!D40*(D91)</f>
        <v>0.4272</v>
      </c>
      <c r="E33" s="49">
        <f>PMemission!E40*(E91)</f>
        <v>0</v>
      </c>
      <c r="F33" s="49">
        <f>PMemission!F40*(F91)</f>
        <v>0</v>
      </c>
      <c r="G33" s="49">
        <f>PMemission!G40*(G91)</f>
        <v>0</v>
      </c>
      <c r="H33" s="49">
        <f>PMemission!H40*(H91)</f>
        <v>0</v>
      </c>
      <c r="I33" s="49">
        <f>PMemission!I40*(I91)</f>
        <v>121.09721428571429</v>
      </c>
      <c r="J33" s="49">
        <f>PMemission!J40*(J91)</f>
        <v>0</v>
      </c>
      <c r="K33" s="49">
        <f>PMemission!K40*(K91)</f>
        <v>0</v>
      </c>
      <c r="L33" s="1311">
        <f t="shared" si="44"/>
        <v>177.4344924107143</v>
      </c>
      <c r="M33" s="26"/>
      <c r="N33" s="732">
        <f>PMemission!N40*(N91)</f>
        <v>22.713469238281256</v>
      </c>
      <c r="O33" s="732">
        <f>PMemission!O40*(O91)</f>
        <v>0</v>
      </c>
      <c r="P33" s="732">
        <f>PMemission!P40*(P91)</f>
        <v>13.01625</v>
      </c>
      <c r="Q33" s="732">
        <f>PMemission!Q40*(Q91)</f>
        <v>0</v>
      </c>
      <c r="R33" s="732">
        <f>PMemission!R40*(R91)</f>
        <v>0</v>
      </c>
      <c r="S33" s="732">
        <f>PMemission!S40*(S91)</f>
        <v>0</v>
      </c>
      <c r="T33" s="732">
        <f>PMemission!T40*(T91)</f>
        <v>0</v>
      </c>
      <c r="U33" s="732">
        <f>PMemission!U40*(U91)</f>
        <v>9.839148660714287</v>
      </c>
      <c r="V33" s="732">
        <f>PMemission!V40*(V91)</f>
        <v>0</v>
      </c>
      <c r="W33" s="732">
        <f>PMemission!W40*(W91)</f>
        <v>0</v>
      </c>
      <c r="X33" s="1311">
        <f t="shared" si="45"/>
        <v>45.56886789899554</v>
      </c>
      <c r="Y33" s="663"/>
      <c r="Z33" s="732">
        <f>PMemission!Z40*(Z91)</f>
        <v>0.30260000000000004</v>
      </c>
      <c r="AA33" s="732">
        <f>PMemission!AA40*(AA91)</f>
        <v>0</v>
      </c>
      <c r="AB33" s="732">
        <f>PMemission!AB40*(AB91)</f>
        <v>0.2136</v>
      </c>
      <c r="AC33" s="732">
        <f>PMemission!AC40*(AC91)</f>
        <v>0.2581</v>
      </c>
      <c r="AD33" s="732">
        <f>PMemission!AD40*(AD91)</f>
        <v>0</v>
      </c>
      <c r="AE33" s="732">
        <f>PMemission!AE40*(AE91)</f>
        <v>0</v>
      </c>
      <c r="AF33" s="732">
        <f>PMemission!AF40*(AF91)</f>
        <v>0</v>
      </c>
      <c r="AG33" s="732">
        <f>PMemission!AG40*(AG91)</f>
        <v>5.9140500000000005</v>
      </c>
      <c r="AH33" s="732">
        <f>PMemission!AH40*(AH91)</f>
        <v>0</v>
      </c>
      <c r="AI33" s="732">
        <f>PMemission!AI40*(AI91)</f>
        <v>0</v>
      </c>
      <c r="AJ33" s="1309">
        <f t="shared" si="46"/>
        <v>6.688350000000001</v>
      </c>
      <c r="AK33" s="663"/>
      <c r="AL33" s="1262" t="s">
        <v>32</v>
      </c>
      <c r="AM33" s="154">
        <f ca="1" t="shared" si="47"/>
        <v>76.22478431540682</v>
      </c>
      <c r="AN33" s="154">
        <f ca="1" t="shared" si="48"/>
        <v>0</v>
      </c>
      <c r="AO33" s="154">
        <f ca="1" t="shared" si="49"/>
        <v>13.189617451402839</v>
      </c>
      <c r="AP33" s="154">
        <f ca="1" t="shared" si="50"/>
        <v>0.249266149293374</v>
      </c>
      <c r="AQ33" s="154">
        <f ca="1" t="shared" si="51"/>
        <v>0</v>
      </c>
      <c r="AR33" s="154">
        <f ca="1" t="shared" si="52"/>
        <v>0</v>
      </c>
      <c r="AS33" s="154">
        <f ca="1" t="shared" si="53"/>
        <v>0</v>
      </c>
      <c r="AT33" s="154">
        <f ca="1" t="shared" si="54"/>
        <v>132.16650702969528</v>
      </c>
      <c r="AU33" s="154">
        <f ca="1">AU$21*(Mtoe!$AI47/Mtoe!$AI$35)</f>
        <v>84.00136689413168</v>
      </c>
      <c r="AV33" s="154">
        <f ca="1">AV$21*(Mtoe!$AJ47/Mtoe!$AJ$35)</f>
        <v>18.16900184301976</v>
      </c>
      <c r="AW33" s="117">
        <f ca="1" t="shared" si="55"/>
        <v>324.00054368294974</v>
      </c>
      <c r="AX33" s="26"/>
      <c r="AY33" s="78" t="s">
        <v>32</v>
      </c>
      <c r="AZ33" s="116">
        <f ca="1" t="shared" si="56"/>
        <v>4097.827119160814</v>
      </c>
      <c r="BA33" s="116">
        <f ca="1" t="shared" si="57"/>
        <v>0</v>
      </c>
      <c r="BB33" s="116">
        <f ca="1" t="shared" si="58"/>
        <v>709.0708431534488</v>
      </c>
      <c r="BC33" s="116">
        <f ca="1" t="shared" si="59"/>
        <v>13.400491659465636</v>
      </c>
      <c r="BD33" s="116">
        <f ca="1" t="shared" si="60"/>
        <v>0</v>
      </c>
      <c r="BE33" s="116">
        <f ca="1" t="shared" si="61"/>
        <v>0</v>
      </c>
      <c r="BF33" s="116">
        <f ca="1" t="shared" si="62"/>
        <v>0</v>
      </c>
      <c r="BG33" s="116">
        <f ca="1" t="shared" si="63"/>
        <v>7105.241446272935</v>
      </c>
      <c r="BH33" s="1256">
        <f ca="1" t="shared" si="64"/>
        <v>4515.894435083033</v>
      </c>
      <c r="BI33" s="116">
        <f ca="1" t="shared" si="65"/>
        <v>976.7614188625574</v>
      </c>
      <c r="BJ33" s="117">
        <f ca="1" t="shared" si="66"/>
        <v>17418.19575419225</v>
      </c>
      <c r="BK33" s="4">
        <f ca="1" t="shared" si="67"/>
        <v>0.753469704511927</v>
      </c>
      <c r="BL33" s="4" t="s">
        <v>94</v>
      </c>
      <c r="BM33" s="142"/>
      <c r="BN33" s="91"/>
    </row>
    <row r="34" spans="1:66" ht="12.75">
      <c r="A34" s="48" t="s">
        <v>33</v>
      </c>
      <c r="B34" s="269">
        <f>PMemission!B41*(B92)</f>
        <v>1829.1796875</v>
      </c>
      <c r="C34" s="49">
        <f>PMemission!C41*(C92)</f>
        <v>0</v>
      </c>
      <c r="D34" s="49">
        <f>PMemission!D41*(D92)</f>
        <v>29.216</v>
      </c>
      <c r="E34" s="49">
        <f>PMemission!E41*(E92)</f>
        <v>0</v>
      </c>
      <c r="F34" s="49">
        <f>PMemission!F41*(F92)</f>
        <v>0</v>
      </c>
      <c r="G34" s="49">
        <f>PMemission!G41*(G92)</f>
        <v>0</v>
      </c>
      <c r="H34" s="49">
        <f>PMemission!H41*(H92)</f>
        <v>0</v>
      </c>
      <c r="I34" s="49">
        <f>PMemission!I41*(I92)</f>
        <v>16.217142857142857</v>
      </c>
      <c r="J34" s="49">
        <f>PMemission!J41*(J92)</f>
        <v>0</v>
      </c>
      <c r="K34" s="49">
        <f>PMemission!K41*(K92)</f>
        <v>0</v>
      </c>
      <c r="L34" s="1311">
        <f t="shared" si="44"/>
        <v>1874.6128303571427</v>
      </c>
      <c r="M34" s="26"/>
      <c r="N34" s="732">
        <f>PMemission!N41*(N92)</f>
        <v>150.30972290039065</v>
      </c>
      <c r="O34" s="732">
        <f>PMemission!O41*(O92)</f>
        <v>0</v>
      </c>
      <c r="P34" s="732">
        <f>PMemission!P41*(P92)</f>
        <v>24.007749999999998</v>
      </c>
      <c r="Q34" s="732">
        <f>PMemission!Q41*(Q92)</f>
        <v>0</v>
      </c>
      <c r="R34" s="732">
        <f>PMemission!R41*(R92)</f>
        <v>0</v>
      </c>
      <c r="S34" s="732">
        <f>PMemission!S41*(S92)</f>
        <v>0</v>
      </c>
      <c r="T34" s="732">
        <f>PMemission!T41*(T92)</f>
        <v>0</v>
      </c>
      <c r="U34" s="732">
        <f>PMemission!U41*(U92)</f>
        <v>0</v>
      </c>
      <c r="V34" s="732">
        <f>PMemission!V41*(V92)</f>
        <v>0</v>
      </c>
      <c r="W34" s="732">
        <f>PMemission!W41*(W92)</f>
        <v>0</v>
      </c>
      <c r="X34" s="1311">
        <f t="shared" si="45"/>
        <v>174.31747290039064</v>
      </c>
      <c r="Y34" s="663"/>
      <c r="Z34" s="732">
        <f>PMemission!Z41*(Z92)</f>
        <v>123.75</v>
      </c>
      <c r="AA34" s="732">
        <f>PMemission!AA41*(AA92)</f>
        <v>0</v>
      </c>
      <c r="AB34" s="732">
        <f>PMemission!AB41*(AB92)</f>
        <v>14.608</v>
      </c>
      <c r="AC34" s="732">
        <f>PMemission!AC41*(AC92)</f>
        <v>2.0460000000000003</v>
      </c>
      <c r="AD34" s="732">
        <f>PMemission!AD41*(AD92)</f>
        <v>0</v>
      </c>
      <c r="AE34" s="732">
        <f>PMemission!AE41*(AE92)</f>
        <v>0</v>
      </c>
      <c r="AF34" s="732">
        <f>PMemission!AF41*(AF92)</f>
        <v>0</v>
      </c>
      <c r="AG34" s="732">
        <f>PMemission!AG41*(AG92)</f>
        <v>1.98</v>
      </c>
      <c r="AH34" s="732">
        <f>PMemission!AH41*(AH92)</f>
        <v>0</v>
      </c>
      <c r="AI34" s="732">
        <f>PMemission!AI41*(AI92)</f>
        <v>0</v>
      </c>
      <c r="AJ34" s="1309">
        <f t="shared" si="46"/>
        <v>142.384</v>
      </c>
      <c r="AK34" s="663"/>
      <c r="AL34" s="1262" t="s">
        <v>33</v>
      </c>
      <c r="AM34" s="154">
        <f ca="1" t="shared" si="47"/>
        <v>2031.2529595992703</v>
      </c>
      <c r="AN34" s="154">
        <f ca="1" t="shared" si="48"/>
        <v>0</v>
      </c>
      <c r="AO34" s="154">
        <f ca="1" t="shared" si="49"/>
        <v>65.51010895905007</v>
      </c>
      <c r="AP34" s="154">
        <f ca="1" t="shared" si="50"/>
        <v>1.975972651895557</v>
      </c>
      <c r="AQ34" s="154">
        <f ca="1" t="shared" si="51"/>
        <v>0</v>
      </c>
      <c r="AR34" s="154">
        <f ca="1" t="shared" si="52"/>
        <v>0</v>
      </c>
      <c r="AS34" s="154">
        <f ca="1" t="shared" si="53"/>
        <v>0</v>
      </c>
      <c r="AT34" s="154">
        <f ca="1" t="shared" si="54"/>
        <v>17.57431897768859</v>
      </c>
      <c r="AU34" s="154">
        <f ca="1">AU$21*(Mtoe!$AI48/Mtoe!$AI$35)</f>
        <v>64.41360421029829</v>
      </c>
      <c r="AV34" s="154">
        <f ca="1">AV$21*(Mtoe!$AJ48/Mtoe!$AJ$35)</f>
        <v>2.4225335790693014</v>
      </c>
      <c r="AW34" s="117">
        <f ca="1" t="shared" si="55"/>
        <v>2183.149497977272</v>
      </c>
      <c r="AX34" s="26"/>
      <c r="AY34" s="78" t="s">
        <v>33</v>
      </c>
      <c r="AZ34" s="116">
        <f ca="1" t="shared" si="56"/>
        <v>109199.69847706259</v>
      </c>
      <c r="BA34" s="116">
        <f ca="1" t="shared" si="57"/>
        <v>0</v>
      </c>
      <c r="BB34" s="116">
        <f ca="1" t="shared" si="58"/>
        <v>3521.8086017898418</v>
      </c>
      <c r="BC34" s="116">
        <f ca="1" t="shared" si="59"/>
        <v>106.22784167092868</v>
      </c>
      <c r="BD34" s="116">
        <f ca="1" t="shared" si="60"/>
        <v>0</v>
      </c>
      <c r="BE34" s="116">
        <f ca="1" t="shared" si="61"/>
        <v>0</v>
      </c>
      <c r="BF34" s="116">
        <f ca="1" t="shared" si="62"/>
        <v>0</v>
      </c>
      <c r="BG34" s="116">
        <f ca="1" t="shared" si="63"/>
        <v>944.7914028796881</v>
      </c>
      <c r="BH34" s="1256">
        <f ca="1" t="shared" si="64"/>
        <v>3462.8607551533582</v>
      </c>
      <c r="BI34" s="116">
        <f ca="1" t="shared" si="65"/>
        <v>130.234855848341</v>
      </c>
      <c r="BJ34" s="117">
        <f ca="1" t="shared" si="66"/>
        <v>117365.62193440476</v>
      </c>
      <c r="BK34" s="4">
        <f ca="1" t="shared" si="67"/>
        <v>5.076957552132838</v>
      </c>
      <c r="BL34" s="4" t="s">
        <v>94</v>
      </c>
      <c r="BM34" s="142"/>
      <c r="BN34" s="91"/>
    </row>
    <row r="35" spans="1:66" ht="12.75">
      <c r="A35" s="48" t="s">
        <v>34</v>
      </c>
      <c r="B35" s="49">
        <f>PMemission!B42*(B93)</f>
        <v>47.11523437500001</v>
      </c>
      <c r="C35" s="49">
        <f>PMemission!C42*(C93)</f>
        <v>0</v>
      </c>
      <c r="D35" s="49">
        <f>PMemission!D42*(D93)</f>
        <v>1.71</v>
      </c>
      <c r="E35" s="49">
        <f>PMemission!E42*(E93)</f>
        <v>0</v>
      </c>
      <c r="F35" s="49">
        <f>PMemission!F42*(F93)</f>
        <v>0</v>
      </c>
      <c r="G35" s="49">
        <f>PMemission!G42*(G93)</f>
        <v>0</v>
      </c>
      <c r="H35" s="49">
        <f>PMemission!H42*(H93)</f>
        <v>0</v>
      </c>
      <c r="I35" s="49">
        <f>PMemission!I42*(I93)</f>
        <v>3.2250000000000005</v>
      </c>
      <c r="J35" s="49">
        <f>PMemission!J42*(J93)</f>
        <v>0</v>
      </c>
      <c r="K35" s="49">
        <f>PMemission!K42*(K93)</f>
        <v>0</v>
      </c>
      <c r="L35" s="1311">
        <f t="shared" si="44"/>
        <v>52.05023437500001</v>
      </c>
      <c r="M35" s="26"/>
      <c r="N35" s="732">
        <f>PMemission!N42*(N93)</f>
        <v>11.356734619140628</v>
      </c>
      <c r="O35" s="732">
        <f>PMemission!O42*(O93)</f>
        <v>0</v>
      </c>
      <c r="P35" s="732">
        <f>PMemission!P42*(P93)</f>
        <v>4.1218125</v>
      </c>
      <c r="Q35" s="732">
        <f>PMemission!Q42*(Q93)</f>
        <v>0</v>
      </c>
      <c r="R35" s="732">
        <f>PMemission!R42*(R93)</f>
        <v>0</v>
      </c>
      <c r="S35" s="732">
        <f>PMemission!S42*(S93)</f>
        <v>0</v>
      </c>
      <c r="T35" s="732">
        <f>PMemission!T42*(T93)</f>
        <v>0</v>
      </c>
      <c r="U35" s="732">
        <f>PMemission!U42*(U93)</f>
        <v>0</v>
      </c>
      <c r="V35" s="732">
        <f>PMemission!V42*(V93)</f>
        <v>0</v>
      </c>
      <c r="W35" s="732">
        <f>PMemission!W42*(W93)</f>
        <v>0</v>
      </c>
      <c r="X35" s="1311">
        <f t="shared" si="45"/>
        <v>15.478547119140629</v>
      </c>
      <c r="Y35" s="663"/>
      <c r="Z35" s="732">
        <f>PMemission!Z42*(Z93)</f>
        <v>0.6375000000000001</v>
      </c>
      <c r="AA35" s="732">
        <f>PMemission!AA42*(AA93)</f>
        <v>0</v>
      </c>
      <c r="AB35" s="732">
        <f>PMemission!AB42*(AB93)</f>
        <v>0.855</v>
      </c>
      <c r="AC35" s="732">
        <f>PMemission!AC42*(AC93)</f>
        <v>1.8375000000000001</v>
      </c>
      <c r="AD35" s="732">
        <f>PMemission!AD42*(AD93)</f>
        <v>0</v>
      </c>
      <c r="AE35" s="732">
        <f>PMemission!AE42*(AE93)</f>
        <v>0</v>
      </c>
      <c r="AF35" s="732">
        <f>PMemission!AF42*(AF93)</f>
        <v>0</v>
      </c>
      <c r="AG35" s="732">
        <f>PMemission!AG42*(AG93)</f>
        <v>0.39375000000000004</v>
      </c>
      <c r="AH35" s="732">
        <f>PMemission!AH42*(AH93)</f>
        <v>0</v>
      </c>
      <c r="AI35" s="732">
        <f>PMemission!AI42*(AI93)</f>
        <v>0</v>
      </c>
      <c r="AJ35" s="1309">
        <f t="shared" si="46"/>
        <v>3.72375</v>
      </c>
      <c r="AK35" s="663"/>
      <c r="AL35" s="1262" t="s">
        <v>34</v>
      </c>
      <c r="AM35" s="155">
        <f ca="1" t="shared" si="47"/>
        <v>57.08636080180366</v>
      </c>
      <c r="AN35" s="156">
        <f ca="1" t="shared" si="48"/>
        <v>0</v>
      </c>
      <c r="AO35" s="156">
        <f ca="1" t="shared" si="49"/>
        <v>6.457946543672217</v>
      </c>
      <c r="AP35" s="156">
        <f ca="1" t="shared" si="50"/>
        <v>1.774608869920863</v>
      </c>
      <c r="AQ35" s="156">
        <f ca="1" t="shared" si="51"/>
        <v>0</v>
      </c>
      <c r="AR35" s="156">
        <f ca="1" t="shared" si="52"/>
        <v>0</v>
      </c>
      <c r="AS35" s="156">
        <f ca="1" t="shared" si="53"/>
        <v>0</v>
      </c>
      <c r="AT35" s="156">
        <f ca="1" t="shared" si="54"/>
        <v>3.4948929785176186</v>
      </c>
      <c r="AU35" s="154">
        <f ca="1">AU$21*(Mtoe!$AI49/Mtoe!$AI$35)</f>
        <v>111.8762599442023</v>
      </c>
      <c r="AV35" s="154">
        <f ca="1">AV$21*(Mtoe!$AJ49/Mtoe!$AJ$35)</f>
        <v>6.056333947673253</v>
      </c>
      <c r="AW35" s="117">
        <f ca="1" t="shared" si="55"/>
        <v>186.74640308578992</v>
      </c>
      <c r="AX35" s="26"/>
      <c r="AY35" s="78" t="s">
        <v>34</v>
      </c>
      <c r="AZ35" s="116">
        <f ca="1" t="shared" si="56"/>
        <v>3068.949811125239</v>
      </c>
      <c r="BA35" s="116">
        <f ca="1" t="shared" si="57"/>
        <v>0</v>
      </c>
      <c r="BB35" s="116">
        <f ca="1" t="shared" si="58"/>
        <v>347.17774170732486</v>
      </c>
      <c r="BC35" s="116">
        <f ca="1" t="shared" si="59"/>
        <v>95.40257041560677</v>
      </c>
      <c r="BD35" s="116">
        <f ca="1" t="shared" si="60"/>
        <v>0</v>
      </c>
      <c r="BE35" s="116">
        <f ca="1" t="shared" si="61"/>
        <v>0</v>
      </c>
      <c r="BF35" s="116">
        <f ca="1" t="shared" si="62"/>
        <v>0</v>
      </c>
      <c r="BG35" s="116">
        <f ca="1" t="shared" si="63"/>
        <v>187.88465398175623</v>
      </c>
      <c r="BH35" s="1256">
        <f ca="1" t="shared" si="64"/>
        <v>6014.442364213728</v>
      </c>
      <c r="BI35" s="116">
        <f ca="1" t="shared" si="65"/>
        <v>325.5871396208525</v>
      </c>
      <c r="BJ35" s="117">
        <f ca="1" t="shared" si="66"/>
        <v>10039.444281064509</v>
      </c>
      <c r="BK35" s="4">
        <f ca="1" t="shared" si="67"/>
        <v>0.4342824723448758</v>
      </c>
      <c r="BL35" s="142" t="s">
        <v>94</v>
      </c>
      <c r="BM35" s="142"/>
      <c r="BN35" s="91"/>
    </row>
    <row r="36" spans="1:66" ht="13.5" thickBot="1">
      <c r="A36" s="57" t="s">
        <v>35</v>
      </c>
      <c r="B36" s="181">
        <f>PMemission!B43*(B94)</f>
        <v>389.72613281250005</v>
      </c>
      <c r="C36" s="58">
        <f>PMemission!C43*(C94)</f>
        <v>0</v>
      </c>
      <c r="D36" s="58">
        <f>PMemission!D43*(D94)</f>
        <v>11.57</v>
      </c>
      <c r="E36" s="58">
        <f>PMemission!E43*(E94)</f>
        <v>0</v>
      </c>
      <c r="F36" s="58">
        <f>PMemission!F43*(F94)</f>
        <v>0</v>
      </c>
      <c r="G36" s="58">
        <f>PMemission!G43*(G94)</f>
        <v>0</v>
      </c>
      <c r="H36" s="58">
        <f>PMemission!H43*(H94)</f>
        <v>0</v>
      </c>
      <c r="I36" s="58">
        <f>PMemission!I43*(I94)</f>
        <v>29.795928571428576</v>
      </c>
      <c r="J36" s="58">
        <f>PMemission!J43*(J94)</f>
        <v>0</v>
      </c>
      <c r="K36" s="58">
        <f>PMemission!K43*(K94)</f>
        <v>0</v>
      </c>
      <c r="L36" s="1326">
        <f t="shared" si="44"/>
        <v>431.09206138392864</v>
      </c>
      <c r="M36" s="26"/>
      <c r="N36" s="735">
        <f>PMemission!N43*(N94)</f>
        <v>158.32624145507816</v>
      </c>
      <c r="O36" s="736">
        <f>PMemission!O43*(O94)</f>
        <v>0</v>
      </c>
      <c r="P36" s="736">
        <f>PMemission!P43*(P94)</f>
        <v>235.015625</v>
      </c>
      <c r="Q36" s="736">
        <f>PMemission!Q43*(Q94)</f>
        <v>0</v>
      </c>
      <c r="R36" s="736">
        <f>PMemission!R43*(R94)</f>
        <v>0</v>
      </c>
      <c r="S36" s="736">
        <f>PMemission!S43*(S94)</f>
        <v>0</v>
      </c>
      <c r="T36" s="736">
        <f>PMemission!T43*(T94)</f>
        <v>0</v>
      </c>
      <c r="U36" s="736">
        <f>PMemission!U43*(U94)</f>
        <v>0</v>
      </c>
      <c r="V36" s="736">
        <f>PMemission!V43*(V94)</f>
        <v>0</v>
      </c>
      <c r="W36" s="736">
        <f>PMemission!W43*(W94)</f>
        <v>0</v>
      </c>
      <c r="X36" s="1326">
        <f t="shared" si="45"/>
        <v>393.34186645507816</v>
      </c>
      <c r="Y36" s="663"/>
      <c r="Z36" s="736">
        <f>PMemission!Z43*(Z94)</f>
        <v>5.273250000000001</v>
      </c>
      <c r="AA36" s="736">
        <f>PMemission!AA43*(AA94)</f>
        <v>0</v>
      </c>
      <c r="AB36" s="736">
        <f>PMemission!AB43*(AB94)</f>
        <v>5.785</v>
      </c>
      <c r="AC36" s="736">
        <f>PMemission!AC43*(AC94)</f>
        <v>1.9758000000000004</v>
      </c>
      <c r="AD36" s="736">
        <f>PMemission!AD43*(AD94)</f>
        <v>0</v>
      </c>
      <c r="AE36" s="736">
        <f>PMemission!AE43*(AE94)</f>
        <v>0</v>
      </c>
      <c r="AF36" s="736">
        <f>PMemission!AF43*(AF94)</f>
        <v>0</v>
      </c>
      <c r="AG36" s="736">
        <f>PMemission!AG43*(AG94)</f>
        <v>3.6378750000000006</v>
      </c>
      <c r="AH36" s="736">
        <f>PMemission!AH43*(AH94)</f>
        <v>0</v>
      </c>
      <c r="AI36" s="736">
        <f>PMemission!AI43*(AI94)</f>
        <v>0</v>
      </c>
      <c r="AJ36" s="1332">
        <f t="shared" si="46"/>
        <v>16.671925</v>
      </c>
      <c r="AK36" s="663"/>
      <c r="AL36" s="1265" t="s">
        <v>35</v>
      </c>
      <c r="AM36" s="263">
        <f ca="1" t="shared" si="47"/>
        <v>534.3872439617649</v>
      </c>
      <c r="AN36" s="161">
        <f ca="1" t="shared" si="48"/>
        <v>0</v>
      </c>
      <c r="AO36" s="161">
        <f ca="1" t="shared" si="49"/>
        <v>243.732870548284</v>
      </c>
      <c r="AP36" s="161">
        <f ca="1" t="shared" si="50"/>
        <v>1.90817534976307</v>
      </c>
      <c r="AQ36" s="161">
        <f ca="1" t="shared" si="51"/>
        <v>0</v>
      </c>
      <c r="AR36" s="161">
        <f ca="1" t="shared" si="52"/>
        <v>0</v>
      </c>
      <c r="AS36" s="161">
        <f ca="1" t="shared" si="53"/>
        <v>0</v>
      </c>
      <c r="AT36" s="161">
        <f ca="1" t="shared" si="54"/>
        <v>32.28948265199944</v>
      </c>
      <c r="AU36" s="154">
        <f ca="1">AU$21*(Mtoe!$AI50/Mtoe!$AI$35)</f>
        <v>393.6386923962673</v>
      </c>
      <c r="AV36" s="154">
        <f ca="1">AV$21*(Mtoe!$AJ50/Mtoe!$AJ$35)</f>
        <v>119.91541216393044</v>
      </c>
      <c r="AW36" s="122">
        <f ca="1" t="shared" si="55"/>
        <v>1325.871877072009</v>
      </c>
      <c r="AX36" s="26"/>
      <c r="AY36" s="79" t="s">
        <v>35</v>
      </c>
      <c r="AZ36" s="151">
        <f ca="1" t="shared" si="56"/>
        <v>28728.537051399835</v>
      </c>
      <c r="BA36" s="121">
        <f ca="1" t="shared" si="57"/>
        <v>0</v>
      </c>
      <c r="BB36" s="121">
        <f ca="1" t="shared" si="58"/>
        <v>13103.023848921463</v>
      </c>
      <c r="BC36" s="121">
        <f ca="1" t="shared" si="59"/>
        <v>102.58307408280591</v>
      </c>
      <c r="BD36" s="121">
        <f ca="1" t="shared" si="60"/>
        <v>0</v>
      </c>
      <c r="BE36" s="121">
        <f ca="1" t="shared" si="61"/>
        <v>0</v>
      </c>
      <c r="BF36" s="121">
        <f ca="1" t="shared" si="62"/>
        <v>0</v>
      </c>
      <c r="BG36" s="121">
        <f ca="1" t="shared" si="63"/>
        <v>1735.8752650257304</v>
      </c>
      <c r="BH36" s="1257">
        <f ca="1" t="shared" si="64"/>
        <v>21161.926837048297</v>
      </c>
      <c r="BI36" s="121">
        <f ca="1" t="shared" si="65"/>
        <v>6446.62536449288</v>
      </c>
      <c r="BJ36" s="122">
        <f ca="1" t="shared" si="66"/>
        <v>71278.571440971</v>
      </c>
      <c r="BK36" s="145">
        <f ca="1" t="shared" si="67"/>
        <v>3.0833414045616383</v>
      </c>
      <c r="BL36" s="144" t="s">
        <v>94</v>
      </c>
      <c r="BM36" s="142"/>
      <c r="BN36" s="91"/>
    </row>
    <row r="37" spans="1:66" ht="12.75">
      <c r="A37" s="55" t="s">
        <v>36</v>
      </c>
      <c r="B37" s="56"/>
      <c r="C37" s="56"/>
      <c r="D37" s="56"/>
      <c r="E37" s="59"/>
      <c r="F37" s="56"/>
      <c r="G37" s="56"/>
      <c r="H37" s="56"/>
      <c r="I37" s="56"/>
      <c r="J37" s="56"/>
      <c r="K37" s="56"/>
      <c r="L37" s="1311">
        <f ca="1">L38+L41+L48+SUM(L51:L53)</f>
        <v>279.0786830913418</v>
      </c>
      <c r="M37" s="274"/>
      <c r="N37" s="800"/>
      <c r="O37" s="800"/>
      <c r="P37" s="800"/>
      <c r="Q37" s="799"/>
      <c r="R37" s="800"/>
      <c r="S37" s="800"/>
      <c r="T37" s="800"/>
      <c r="U37" s="800"/>
      <c r="V37" s="800"/>
      <c r="W37" s="800"/>
      <c r="X37" s="1311">
        <f ca="1">X38+X41+X48+SUM(X51:X53)</f>
        <v>61.14771891138167</v>
      </c>
      <c r="Y37" s="663"/>
      <c r="Z37" s="732">
        <f>PMemission!Z44*(Z95)</f>
        <v>0</v>
      </c>
      <c r="AA37" s="732">
        <f>PMemission!AA44*(AA95)</f>
        <v>0</v>
      </c>
      <c r="AB37" s="732">
        <f>PMemission!AB44*(AB95)</f>
        <v>0</v>
      </c>
      <c r="AC37" s="732">
        <f>PMemission!AC44*(AC95)</f>
        <v>0</v>
      </c>
      <c r="AD37" s="732">
        <f>PMemission!AD44*(AD95)</f>
        <v>0</v>
      </c>
      <c r="AE37" s="732">
        <f>PMemission!AE44*(AE95)</f>
        <v>0</v>
      </c>
      <c r="AF37" s="732">
        <f>PMemission!AF44*(AF95)</f>
        <v>0</v>
      </c>
      <c r="AG37" s="732">
        <f>PMemission!AG44*(AG95)</f>
        <v>0</v>
      </c>
      <c r="AH37" s="732">
        <f>PMemission!AH44*(AH95)</f>
        <v>0</v>
      </c>
      <c r="AI37" s="732">
        <f>PMemission!AI44*(AI95)</f>
        <v>0</v>
      </c>
      <c r="AJ37" s="1309">
        <f ca="1">AJ38+AJ41+AJ48+SUM(AJ51:AJ53)</f>
        <v>11322.942370722196</v>
      </c>
      <c r="AK37" s="663"/>
      <c r="AL37" s="157" t="s">
        <v>36</v>
      </c>
      <c r="AM37" s="153">
        <f>SUM(AM38:AM41)+AM48+SUM(AM51:AM53)</f>
        <v>12.840894775390625</v>
      </c>
      <c r="AN37" s="153"/>
      <c r="AO37" s="160">
        <f ca="1">AO38+AN41+AO41+AN48+AO48+SUM(AN51:AO53)</f>
        <v>10518.201045656493</v>
      </c>
      <c r="AP37" s="153">
        <f ca="1">AP38+AP41+AP48+SUM(AP51:AP53)</f>
        <v>1.0661895180022518</v>
      </c>
      <c r="AQ37" s="153">
        <f aca="true" t="shared" si="68" ref="AQ37:AS37">SUM(AQ38:AQ41)+AQ48+SUM(AQ51:AQ53)</f>
        <v>0</v>
      </c>
      <c r="AR37" s="153">
        <f ca="1" t="shared" si="68"/>
        <v>0</v>
      </c>
      <c r="AS37" s="153">
        <f ca="1" t="shared" si="68"/>
        <v>0</v>
      </c>
      <c r="AT37" s="153">
        <f ca="1">AT38+AT41+AT48+SUM(AT51:AT53)</f>
        <v>739.5894657722655</v>
      </c>
      <c r="AU37" s="153">
        <f ca="1">AU38+AU41+AU48+SUM(AU51:AU53)</f>
        <v>174.40642543490122</v>
      </c>
      <c r="AV37" s="160">
        <f ca="1">SUM(AV38:AV53)</f>
        <v>0</v>
      </c>
      <c r="AW37" s="117">
        <f ca="1">AW38+AW41+AW48+SUM(AW51:AW53)</f>
        <v>11446.104021157053</v>
      </c>
      <c r="AX37" s="26"/>
      <c r="AY37" s="147" t="s">
        <v>36</v>
      </c>
      <c r="AZ37" s="152"/>
      <c r="BA37" s="119"/>
      <c r="BB37" s="119">
        <f ca="1">BB38+BA41+BB41+BA48+BB48+SUM(BA51:BB53)</f>
        <v>565456.1029825691</v>
      </c>
      <c r="BC37" s="153">
        <f ca="1">BC38+BC41+BC48+SUM(BC51:BC53)</f>
        <v>57.318106706030186</v>
      </c>
      <c r="BD37" s="119"/>
      <c r="BE37" s="119">
        <f ca="1">SUM(BE38:BE53)</f>
        <v>0</v>
      </c>
      <c r="BF37" s="119">
        <f ca="1">SUM(BF38:BF53)</f>
        <v>0</v>
      </c>
      <c r="BG37" s="119">
        <f ca="1">BG38+BG41+BG48+SUM(BG51:BG53)</f>
        <v>39760.16196184461</v>
      </c>
      <c r="BH37" s="119">
        <f ca="1">SUM(BH38:BH53)</f>
        <v>18252.81525084882</v>
      </c>
      <c r="BI37" s="119">
        <f aca="true" t="shared" si="69" ref="BI37">SUM(BI38:BI53)</f>
        <v>0</v>
      </c>
      <c r="BJ37" s="117">
        <f ca="1">BJ38+BJ41+BJ48+SUM(BJ51:BJ53)</f>
        <v>614649.6329320322</v>
      </c>
      <c r="BK37" s="1338">
        <f ca="1">BK38+BK41+BK48+SUM(BK51:BK53)</f>
        <v>26.58828066002174</v>
      </c>
      <c r="BL37" s="4" t="s">
        <v>94</v>
      </c>
      <c r="BM37" s="142"/>
      <c r="BN37" s="91"/>
    </row>
    <row r="38" spans="1:66" ht="12.75">
      <c r="A38" s="112" t="s">
        <v>98</v>
      </c>
      <c r="B38" s="49">
        <f>PMemission!B45*(B96)</f>
        <v>0</v>
      </c>
      <c r="C38" s="49">
        <f>PMemission!C45*(C96)</f>
        <v>0</v>
      </c>
      <c r="D38" s="49">
        <f>PMemission!D45*(D96)</f>
        <v>0</v>
      </c>
      <c r="E38" s="49">
        <f>PMemission!E45*(E96)</f>
        <v>0</v>
      </c>
      <c r="F38" s="49">
        <f>PMemission!F45*(F96)</f>
        <v>0</v>
      </c>
      <c r="G38" s="49">
        <f>PMemission!G45*(G96)</f>
        <v>0</v>
      </c>
      <c r="H38" s="49">
        <f>PMemission!H45*(H96)</f>
        <v>0</v>
      </c>
      <c r="I38" s="49">
        <f>PMemission!I45*(I96)</f>
        <v>0</v>
      </c>
      <c r="J38" s="49">
        <f>PMemission!J45*(J96)</f>
        <v>0</v>
      </c>
      <c r="K38" s="49">
        <f>PMemission!K45*(K96)</f>
        <v>0</v>
      </c>
      <c r="L38" s="1325">
        <f aca="true" t="shared" si="70" ref="L38:L39">SUM(B38:K38)</f>
        <v>0</v>
      </c>
      <c r="M38" s="274"/>
      <c r="N38" s="732">
        <f>PMemission!N45*(N96)</f>
        <v>0</v>
      </c>
      <c r="O38" s="732">
        <f>PMemission!O45*(O96)</f>
        <v>0</v>
      </c>
      <c r="P38" s="732">
        <f>PMemission!P45*(P96)</f>
        <v>0</v>
      </c>
      <c r="Q38" s="732">
        <f>PMemission!Q45*(Q96)</f>
        <v>0</v>
      </c>
      <c r="R38" s="732">
        <f>PMemission!R45*(R96)</f>
        <v>0</v>
      </c>
      <c r="S38" s="732">
        <f>PMemission!S45*(S96)</f>
        <v>0</v>
      </c>
      <c r="T38" s="732">
        <f>PMemission!T45*(T96)</f>
        <v>0</v>
      </c>
      <c r="U38" s="732">
        <f>PMemission!U45*(U96)</f>
        <v>0</v>
      </c>
      <c r="V38" s="732">
        <f>PMemission!V45*(V96)</f>
        <v>0</v>
      </c>
      <c r="W38" s="732">
        <f>PMemission!W45*(W96)</f>
        <v>0</v>
      </c>
      <c r="X38" s="1325">
        <f aca="true" t="shared" si="71" ref="X38:X39">SUM(N38:W38)</f>
        <v>0</v>
      </c>
      <c r="Y38" s="663"/>
      <c r="Z38" s="732">
        <f>PMemission!Z45*(Z96)</f>
        <v>0</v>
      </c>
      <c r="AA38" s="732">
        <f>PMemission!AA45*(AA96)</f>
        <v>0</v>
      </c>
      <c r="AB38" s="732">
        <f>PMemission!AB45*(AB96)</f>
        <v>0.17559999999999998</v>
      </c>
      <c r="AC38" s="732">
        <f>PMemission!AC45*(AC96)</f>
        <v>0</v>
      </c>
      <c r="AD38" s="732">
        <f>PMemission!AD45*(AD96)</f>
        <v>0</v>
      </c>
      <c r="AE38" s="732">
        <f>PMemission!AE45*(AE96)</f>
        <v>0</v>
      </c>
      <c r="AF38" s="732">
        <f>PMemission!AF45*(AF96)</f>
        <v>0</v>
      </c>
      <c r="AG38" s="732">
        <f>PMemission!AG45*(AG96)</f>
        <v>0</v>
      </c>
      <c r="AH38" s="732">
        <f>PMemission!AH45*(AH96)</f>
        <v>0</v>
      </c>
      <c r="AI38" s="732">
        <f>PMemission!AI45*(AI96)</f>
        <v>0</v>
      </c>
      <c r="AJ38" s="1309">
        <f>SUM(Z38:AI38)</f>
        <v>0.17559999999999998</v>
      </c>
      <c r="AK38" s="663"/>
      <c r="AL38" s="1262" t="s">
        <v>37</v>
      </c>
      <c r="AM38" s="154">
        <f aca="true" t="shared" si="72" ref="AM38:AM39">B38+N38+Z38</f>
        <v>0</v>
      </c>
      <c r="AN38" s="154">
        <f aca="true" t="shared" si="73" ref="AN38:AN39">C38+O38+AA38</f>
        <v>0</v>
      </c>
      <c r="AO38" s="154">
        <f aca="true" t="shared" si="74" ref="AO38:AO39">D38+P38+AB38</f>
        <v>0.17559999999999998</v>
      </c>
      <c r="AP38" s="154">
        <f aca="true" t="shared" si="75" ref="AP38:AP39">E38+Q38+AC38</f>
        <v>0</v>
      </c>
      <c r="AQ38" s="154">
        <f aca="true" t="shared" si="76" ref="AQ38:AQ39">F38+R38+AD38</f>
        <v>0</v>
      </c>
      <c r="AR38" s="154">
        <f aca="true" t="shared" si="77" ref="AR38:AR39">G38+S38+AE38</f>
        <v>0</v>
      </c>
      <c r="AS38" s="154">
        <f aca="true" t="shared" si="78" ref="AS38:AS39">H38+T38+AF38</f>
        <v>0</v>
      </c>
      <c r="AT38" s="154">
        <f aca="true" t="shared" si="79" ref="AT38:AT39">I38+U38+AG38</f>
        <v>0</v>
      </c>
      <c r="AU38" s="154">
        <f ca="1">AU$21*(Mtoe!$AI52/Mtoe!$AI$35)</f>
        <v>0</v>
      </c>
      <c r="AV38" s="154">
        <f ca="1">AV$21*(Mtoe!$AJ52/Mtoe!$AJ$35)</f>
        <v>0</v>
      </c>
      <c r="AW38" s="117">
        <f ca="1">SUM(AM38:AV38)</f>
        <v>0.17559999999999998</v>
      </c>
      <c r="AX38" s="26"/>
      <c r="AY38" s="148" t="s">
        <v>37</v>
      </c>
      <c r="AZ38" s="151">
        <f aca="true" t="shared" si="80" ref="AZ38">1000*AM38*$AV$94</f>
        <v>0</v>
      </c>
      <c r="BA38" s="116">
        <f aca="true" t="shared" si="81" ref="BA38:BH39">1000*AN38*$BD$89</f>
        <v>0</v>
      </c>
      <c r="BB38" s="116">
        <f ca="1" t="shared" si="81"/>
        <v>9.440216178862903</v>
      </c>
      <c r="BC38" s="116">
        <f ca="1" t="shared" si="81"/>
        <v>0</v>
      </c>
      <c r="BD38" s="116">
        <f ca="1" t="shared" si="81"/>
        <v>0</v>
      </c>
      <c r="BE38" s="116">
        <f ca="1" t="shared" si="81"/>
        <v>0</v>
      </c>
      <c r="BF38" s="116">
        <f ca="1" t="shared" si="81"/>
        <v>0</v>
      </c>
      <c r="BG38" s="116">
        <f ca="1" t="shared" si="81"/>
        <v>0</v>
      </c>
      <c r="BH38" s="116">
        <f ca="1" t="shared" si="81"/>
        <v>0</v>
      </c>
      <c r="BI38" s="116">
        <f ca="1">1000*AV38*$AV$94</f>
        <v>0</v>
      </c>
      <c r="BJ38" s="117">
        <f ca="1">SUM(AZ38:BI38)</f>
        <v>9.440216178862903</v>
      </c>
      <c r="BK38" s="4">
        <f aca="true" t="shared" si="82" ref="BK38:BK44">100*BJ38/BJ$6</f>
        <v>0.0004083612904111834</v>
      </c>
      <c r="BL38" s="4" t="s">
        <v>94</v>
      </c>
      <c r="BM38" s="142"/>
      <c r="BN38" s="91"/>
    </row>
    <row r="39" spans="1:66" ht="13.5" thickBot="1">
      <c r="A39" s="261" t="s">
        <v>283</v>
      </c>
      <c r="B39" s="49">
        <f>PMemission!B46*(B97)</f>
        <v>0</v>
      </c>
      <c r="C39" s="49">
        <f>PMemission!C46*(C97)</f>
        <v>0</v>
      </c>
      <c r="D39" s="49">
        <f>PMemission!D46*(D97)</f>
        <v>0</v>
      </c>
      <c r="E39" s="49"/>
      <c r="F39" s="49"/>
      <c r="G39" s="49"/>
      <c r="H39" s="49"/>
      <c r="I39" s="49">
        <f>PMemission!I46*(I97)</f>
        <v>0</v>
      </c>
      <c r="J39" s="49"/>
      <c r="K39" s="49"/>
      <c r="L39" s="1325">
        <f t="shared" si="70"/>
        <v>0</v>
      </c>
      <c r="M39" s="274"/>
      <c r="N39" s="732"/>
      <c r="O39" s="732"/>
      <c r="P39" s="732">
        <f>PMemission!P46*(P97)</f>
        <v>0</v>
      </c>
      <c r="Q39" s="732"/>
      <c r="R39" s="732"/>
      <c r="S39" s="732"/>
      <c r="T39" s="732"/>
      <c r="U39" s="732">
        <f>PMemission!U46*(U97)</f>
        <v>0</v>
      </c>
      <c r="V39" s="732"/>
      <c r="W39" s="732"/>
      <c r="X39" s="1325">
        <f t="shared" si="71"/>
        <v>0</v>
      </c>
      <c r="Y39" s="663"/>
      <c r="Z39" s="732"/>
      <c r="AA39" s="732"/>
      <c r="AB39" s="732">
        <f>PMemission!AB46*(AB97)</f>
        <v>0</v>
      </c>
      <c r="AC39" s="732"/>
      <c r="AD39" s="732"/>
      <c r="AE39" s="732"/>
      <c r="AF39" s="732"/>
      <c r="AG39" s="732">
        <f>PMemission!AG46*(AG97)</f>
        <v>0</v>
      </c>
      <c r="AH39" s="732"/>
      <c r="AI39" s="732">
        <f>PMemission!AI46*(AI97)</f>
        <v>0</v>
      </c>
      <c r="AJ39" s="1309">
        <f>SUM(Z39:AI39)</f>
        <v>0</v>
      </c>
      <c r="AK39" s="663"/>
      <c r="AL39" s="1262" t="s">
        <v>283</v>
      </c>
      <c r="AM39" s="154">
        <f t="shared" si="72"/>
        <v>0</v>
      </c>
      <c r="AN39" s="154">
        <f t="shared" si="73"/>
        <v>0</v>
      </c>
      <c r="AO39" s="154">
        <f t="shared" si="74"/>
        <v>0</v>
      </c>
      <c r="AP39" s="154">
        <f t="shared" si="75"/>
        <v>0</v>
      </c>
      <c r="AQ39" s="154">
        <f t="shared" si="76"/>
        <v>0</v>
      </c>
      <c r="AR39" s="154">
        <f t="shared" si="77"/>
        <v>0</v>
      </c>
      <c r="AS39" s="154">
        <f t="shared" si="78"/>
        <v>0</v>
      </c>
      <c r="AT39" s="154">
        <f t="shared" si="79"/>
        <v>0</v>
      </c>
      <c r="AU39" s="154"/>
      <c r="AV39" s="154"/>
      <c r="AW39" s="117">
        <f>SUM(AM39:AV39)</f>
        <v>0</v>
      </c>
      <c r="AX39" s="26"/>
      <c r="AY39" s="149" t="s">
        <v>283</v>
      </c>
      <c r="AZ39" s="151" t="s">
        <v>122</v>
      </c>
      <c r="BA39" s="116">
        <f ca="1" t="shared" si="81"/>
        <v>0</v>
      </c>
      <c r="BB39" s="116">
        <f ca="1" t="shared" si="81"/>
        <v>0</v>
      </c>
      <c r="BC39" s="116">
        <f ca="1" t="shared" si="81"/>
        <v>0</v>
      </c>
      <c r="BD39" s="116">
        <f ca="1" t="shared" si="81"/>
        <v>0</v>
      </c>
      <c r="BE39" s="116">
        <f ca="1" t="shared" si="81"/>
        <v>0</v>
      </c>
      <c r="BF39" s="116">
        <f ca="1" t="shared" si="81"/>
        <v>0</v>
      </c>
      <c r="BG39" s="116">
        <f ca="1" t="shared" si="81"/>
        <v>0</v>
      </c>
      <c r="BH39" s="116">
        <f ca="1" t="shared" si="81"/>
        <v>0</v>
      </c>
      <c r="BI39" s="116"/>
      <c r="BJ39" s="117">
        <f ca="1">SUM(AZ39:BI39)</f>
        <v>0</v>
      </c>
      <c r="BK39" s="4">
        <f ca="1" t="shared" si="82"/>
        <v>0</v>
      </c>
      <c r="BL39" s="4"/>
      <c r="BM39" s="142"/>
      <c r="BN39" s="91"/>
    </row>
    <row r="40" spans="1:66" ht="15.75" thickBot="1">
      <c r="A40" s="48"/>
      <c r="B40" s="49"/>
      <c r="C40" s="855" t="s">
        <v>258</v>
      </c>
      <c r="D40" s="856" t="s">
        <v>260</v>
      </c>
      <c r="E40" s="857" t="s">
        <v>120</v>
      </c>
      <c r="F40" s="1066" t="s">
        <v>365</v>
      </c>
      <c r="G40" s="909">
        <v>0</v>
      </c>
      <c r="H40" s="909">
        <v>0</v>
      </c>
      <c r="I40" s="910" t="s">
        <v>282</v>
      </c>
      <c r="J40" s="860" t="s">
        <v>257</v>
      </c>
      <c r="K40" s="854"/>
      <c r="L40" s="1327"/>
      <c r="M40" s="946"/>
      <c r="N40" s="1266"/>
      <c r="O40" s="1267" t="s">
        <v>258</v>
      </c>
      <c r="P40" s="1268" t="s">
        <v>260</v>
      </c>
      <c r="Q40" s="1269" t="s">
        <v>120</v>
      </c>
      <c r="R40" s="1270" t="s">
        <v>365</v>
      </c>
      <c r="S40" s="909">
        <v>0</v>
      </c>
      <c r="T40" s="909">
        <v>0</v>
      </c>
      <c r="U40" s="1271" t="s">
        <v>282</v>
      </c>
      <c r="V40" s="1269" t="s">
        <v>257</v>
      </c>
      <c r="W40" s="1266"/>
      <c r="X40" s="1327"/>
      <c r="Y40" s="1272"/>
      <c r="Z40" s="1266"/>
      <c r="AA40" s="1267" t="s">
        <v>258</v>
      </c>
      <c r="AB40" s="1268" t="s">
        <v>260</v>
      </c>
      <c r="AC40" s="1269" t="s">
        <v>120</v>
      </c>
      <c r="AD40" s="1270" t="s">
        <v>365</v>
      </c>
      <c r="AE40" s="909">
        <v>0</v>
      </c>
      <c r="AF40" s="909">
        <v>0</v>
      </c>
      <c r="AG40" s="1271" t="s">
        <v>282</v>
      </c>
      <c r="AH40" s="1269" t="s">
        <v>257</v>
      </c>
      <c r="AI40" s="1266"/>
      <c r="AJ40" s="1333"/>
      <c r="AK40" s="1272"/>
      <c r="AL40" s="1273"/>
      <c r="AM40" s="888"/>
      <c r="AN40" s="1274" t="s">
        <v>258</v>
      </c>
      <c r="AO40" s="1275" t="s">
        <v>260</v>
      </c>
      <c r="AP40" s="1276" t="s">
        <v>120</v>
      </c>
      <c r="AQ40" s="1277" t="s">
        <v>365</v>
      </c>
      <c r="AR40" s="915">
        <v>0</v>
      </c>
      <c r="AS40" s="950">
        <v>0</v>
      </c>
      <c r="AT40" s="1278" t="s">
        <v>282</v>
      </c>
      <c r="AU40" s="1276" t="s">
        <v>257</v>
      </c>
      <c r="AV40" s="888"/>
      <c r="AW40" s="894"/>
      <c r="AX40" s="890"/>
      <c r="AY40" s="891"/>
      <c r="AZ40" s="892"/>
      <c r="BA40" s="947" t="s">
        <v>258</v>
      </c>
      <c r="BB40" s="948" t="s">
        <v>260</v>
      </c>
      <c r="BC40" s="949" t="s">
        <v>120</v>
      </c>
      <c r="BD40" s="1070" t="s">
        <v>365</v>
      </c>
      <c r="BE40" s="915">
        <v>0</v>
      </c>
      <c r="BF40" s="950">
        <v>0</v>
      </c>
      <c r="BG40" s="951" t="s">
        <v>282</v>
      </c>
      <c r="BH40" s="1255" t="s">
        <v>257</v>
      </c>
      <c r="BI40" s="893"/>
      <c r="BJ40" s="894"/>
      <c r="BK40" s="4">
        <f ca="1" t="shared" si="82"/>
        <v>0</v>
      </c>
      <c r="BL40" s="4"/>
      <c r="BM40" s="142"/>
      <c r="BN40" s="91"/>
    </row>
    <row r="41" spans="1:66" s="580" customFormat="1" ht="12.75" customHeight="1">
      <c r="A41" s="247" t="s">
        <v>284</v>
      </c>
      <c r="B41" s="269">
        <f>PMemission!B48*(B99)</f>
        <v>0</v>
      </c>
      <c r="C41" s="952">
        <f ca="1">C42+C47</f>
        <v>167.28689781853947</v>
      </c>
      <c r="D41" s="953">
        <f ca="1">PMemission!D48*(D99)</f>
        <v>0</v>
      </c>
      <c r="E41" s="862">
        <f ca="1">PMemission!E48*(E99)</f>
        <v>0</v>
      </c>
      <c r="F41" s="968"/>
      <c r="G41" s="909">
        <f>PMemission!G48*(G99)</f>
        <v>0</v>
      </c>
      <c r="H41" s="909">
        <f>PMemission!H48*(H99)</f>
        <v>0</v>
      </c>
      <c r="I41" s="922">
        <f ca="1">I42+I47</f>
        <v>95.26513371030232</v>
      </c>
      <c r="J41" s="862">
        <f>PMemission!J48*(J99)</f>
        <v>0</v>
      </c>
      <c r="K41" s="854">
        <f>PMemission!K48*(K99)</f>
        <v>0</v>
      </c>
      <c r="L41" s="1328">
        <f ca="1">SUM(B41:K41)</f>
        <v>262.5520315288418</v>
      </c>
      <c r="M41" s="946"/>
      <c r="N41" s="1266">
        <f>PMemission!N48*(N99)</f>
        <v>0</v>
      </c>
      <c r="O41" s="952">
        <f ca="1">PMemission!O48*(O99)</f>
        <v>5.598103823491051</v>
      </c>
      <c r="P41" s="953">
        <f ca="1">PMemission!P48*(P99)</f>
        <v>0</v>
      </c>
      <c r="Q41" s="1279">
        <f ca="1">PMemission!Q48*(Q99)</f>
        <v>0</v>
      </c>
      <c r="R41" s="1280"/>
      <c r="S41" s="909">
        <f>PMemission!S48*(S99)</f>
        <v>0</v>
      </c>
      <c r="T41" s="909">
        <f>PMemission!T48*(T99)</f>
        <v>0</v>
      </c>
      <c r="U41" s="1281">
        <f aca="true" t="shared" si="83" ref="U41">U42+U47</f>
        <v>0</v>
      </c>
      <c r="V41" s="1279">
        <f>PMemission!V48*(V99)</f>
        <v>0</v>
      </c>
      <c r="W41" s="1266">
        <f>PMemission!W48*(W99)</f>
        <v>0</v>
      </c>
      <c r="X41" s="1328">
        <f ca="1">SUM(N41:W41)</f>
        <v>5.598103823491051</v>
      </c>
      <c r="Y41" s="1272"/>
      <c r="Z41" s="1266">
        <f>PMemission!Z48*(Z99)</f>
        <v>0</v>
      </c>
      <c r="AA41" s="952">
        <f ca="1">AA42+AA47</f>
        <v>8208.02551507888</v>
      </c>
      <c r="AB41" s="953">
        <f ca="1">AB42+AB47</f>
        <v>2145.2493184545715</v>
      </c>
      <c r="AC41" s="1279">
        <f ca="1">AC42+AC47</f>
        <v>0.9569746687485581</v>
      </c>
      <c r="AD41" s="1280"/>
      <c r="AE41" s="909">
        <f>PMemission!AE48*(AE99)</f>
        <v>0</v>
      </c>
      <c r="AF41" s="909">
        <f>PMemission!AF48*(AF99)</f>
        <v>0</v>
      </c>
      <c r="AG41" s="1281">
        <f ca="1">AG42+AG47</f>
        <v>670.534962519996</v>
      </c>
      <c r="AH41" s="1279">
        <f ca="1">PMemission!AH48*(AH99)</f>
        <v>0</v>
      </c>
      <c r="AI41" s="1266">
        <f>PMemission!AI48*(AI99)</f>
        <v>0</v>
      </c>
      <c r="AJ41" s="1333">
        <f ca="1">SUM(Z41:AI41)</f>
        <v>11024.766770722195</v>
      </c>
      <c r="AK41" s="1272"/>
      <c r="AL41" s="1273" t="s">
        <v>284</v>
      </c>
      <c r="AM41" s="888" t="s">
        <v>122</v>
      </c>
      <c r="AN41" s="991">
        <f ca="1">AN42+AN47</f>
        <v>8094.061573325698</v>
      </c>
      <c r="AO41" s="992">
        <f ca="1">AO42+AO47</f>
        <v>2071.825016991112</v>
      </c>
      <c r="AP41" s="1282">
        <f ca="1">AP42+AP47</f>
        <v>0.9242208084085828</v>
      </c>
      <c r="AQ41" s="1021"/>
      <c r="AR41" s="915"/>
      <c r="AS41" s="915"/>
      <c r="AT41" s="1258">
        <f ca="1">AT42+AT47</f>
        <v>739.5894657722655</v>
      </c>
      <c r="AU41" s="1259">
        <f ca="1">AU42+AU47</f>
        <v>0</v>
      </c>
      <c r="AV41" s="888"/>
      <c r="AW41" s="894">
        <f ca="1">SUM(AM41:AV41)</f>
        <v>10906.400276897484</v>
      </c>
      <c r="AX41" s="890"/>
      <c r="AY41" s="896" t="s">
        <v>284</v>
      </c>
      <c r="AZ41" s="892" t="s">
        <v>122</v>
      </c>
      <c r="BA41" s="1139">
        <f ca="1">BA42+BA47</f>
        <v>435134.9146766617</v>
      </c>
      <c r="BB41" s="1140">
        <f ca="1">BB42+BB47</f>
        <v>111380.84308184744</v>
      </c>
      <c r="BC41" s="1141">
        <f ca="1">BC42+BC47</f>
        <v>49.68590107278165</v>
      </c>
      <c r="BD41" s="1142"/>
      <c r="BE41" s="1143">
        <f ca="1">BE42+BE47</f>
        <v>0</v>
      </c>
      <c r="BF41" s="1143">
        <f ca="1">BF42+BF47</f>
        <v>0</v>
      </c>
      <c r="BG41" s="1144">
        <f ca="1">BG42+BG47</f>
        <v>39760.16196184461</v>
      </c>
      <c r="BH41" s="1141">
        <f ca="1">1000*AU41*$AV$94</f>
        <v>0</v>
      </c>
      <c r="BI41" s="893">
        <f aca="true" t="shared" si="84" ref="BI41:BI53">1000*AV41*$AV$94</f>
        <v>0</v>
      </c>
      <c r="BJ41" s="894">
        <f aca="true" t="shared" si="85" ref="BJ41:BJ56">SUM(AZ41:BI41)</f>
        <v>586325.6056214266</v>
      </c>
      <c r="BK41" s="917">
        <f ca="1" t="shared" si="82"/>
        <v>25.363050631063476</v>
      </c>
      <c r="BL41" s="695" t="s">
        <v>94</v>
      </c>
      <c r="BM41" s="712"/>
      <c r="BN41" s="940"/>
    </row>
    <row r="42" spans="1:66" s="580" customFormat="1" ht="12.75" customHeight="1">
      <c r="A42" s="721" t="s">
        <v>127</v>
      </c>
      <c r="B42" s="722">
        <f>PMemission!B49*(B100)</f>
        <v>0</v>
      </c>
      <c r="C42" s="954">
        <f ca="1">SUM(C43:C46)</f>
        <v>91.45941770167438</v>
      </c>
      <c r="D42" s="955">
        <f ca="1">PMemission!D49*(D100)</f>
        <v>0</v>
      </c>
      <c r="E42" s="868">
        <f ca="1">PMemission!E49*(E100)</f>
        <v>0</v>
      </c>
      <c r="F42" s="969"/>
      <c r="G42" s="956">
        <f>PMemission!G49*(G100)</f>
        <v>0</v>
      </c>
      <c r="H42" s="956">
        <f>PMemission!H49*(H100)</f>
        <v>0</v>
      </c>
      <c r="I42" s="957">
        <f ca="1">SUM(I43:I46)</f>
        <v>75.72637644428532</v>
      </c>
      <c r="J42" s="868">
        <f>PMemission!J49*(J100)</f>
        <v>0</v>
      </c>
      <c r="K42" s="865">
        <f>PMemission!K49*(K100)</f>
        <v>0</v>
      </c>
      <c r="L42" s="1329">
        <f ca="1">SUM(B42:K42)</f>
        <v>167.1857941459597</v>
      </c>
      <c r="M42" s="946"/>
      <c r="N42" s="1283">
        <f>PMemission!N49*(N100)</f>
        <v>0</v>
      </c>
      <c r="O42" s="954">
        <f ca="1">PMemission!O49*(O100)</f>
        <v>2.8986455313306547</v>
      </c>
      <c r="P42" s="955">
        <f ca="1">PMemission!P49*(P100)</f>
        <v>0</v>
      </c>
      <c r="Q42" s="1284">
        <f ca="1">PMemission!Q49*(Q100)</f>
        <v>0</v>
      </c>
      <c r="R42" s="1285"/>
      <c r="S42" s="956">
        <f>PMemission!S49*(S100)</f>
        <v>0</v>
      </c>
      <c r="T42" s="956">
        <f>PMemission!T49*(T100)</f>
        <v>0</v>
      </c>
      <c r="U42" s="1286">
        <f aca="true" t="shared" si="86" ref="U42">SUM(U43:U46)</f>
        <v>0</v>
      </c>
      <c r="V42" s="1284">
        <f>PMemission!V49*(V100)</f>
        <v>0</v>
      </c>
      <c r="W42" s="1283">
        <f>PMemission!W49*(W100)</f>
        <v>0</v>
      </c>
      <c r="X42" s="1329">
        <f ca="1">SUM(N42:W42)</f>
        <v>2.8986455313306547</v>
      </c>
      <c r="Y42" s="1287"/>
      <c r="Z42" s="1283">
        <f>PMemission!Z49*(Z100)</f>
        <v>0</v>
      </c>
      <c r="AA42" s="954">
        <f ca="1">SUM(AA43:AA46)</f>
        <v>3658.376708066975</v>
      </c>
      <c r="AB42" s="955">
        <f ca="1">SUM(AB43:AB46)</f>
        <v>2145.2493184545715</v>
      </c>
      <c r="AC42" s="1284">
        <f ca="1">SUM(AC43:AC46)</f>
        <v>0.9569746687485581</v>
      </c>
      <c r="AD42" s="1285"/>
      <c r="AE42" s="956">
        <f>PMemission!AE49*(AE100)</f>
        <v>0</v>
      </c>
      <c r="AF42" s="956">
        <f>PMemission!AF49*(AF100)</f>
        <v>0</v>
      </c>
      <c r="AG42" s="1286">
        <f ca="1">SUM(AG43:AG46)</f>
        <v>483.4333197537594</v>
      </c>
      <c r="AH42" s="1284">
        <f ca="1">PMemission!AH49*(AH100)</f>
        <v>0</v>
      </c>
      <c r="AI42" s="1283">
        <f>PMemission!AI49*(AI100)</f>
        <v>0</v>
      </c>
      <c r="AJ42" s="1334">
        <f ca="1">SUM(Z42:AI42)</f>
        <v>6288.016320944054</v>
      </c>
      <c r="AK42" s="1272"/>
      <c r="AL42" s="1273" t="s">
        <v>127</v>
      </c>
      <c r="AM42" s="888" t="s">
        <v>122</v>
      </c>
      <c r="AN42" s="991">
        <f ca="1">SUM(AN43:AN44)</f>
        <v>3624.2919246853803</v>
      </c>
      <c r="AO42" s="992">
        <f ca="1">SUM(AO43:AO46)</f>
        <v>2071.825016991112</v>
      </c>
      <c r="AP42" s="1282">
        <f ca="1">SUM(AP43:AP46)</f>
        <v>0.9242208084085828</v>
      </c>
      <c r="AQ42" s="1023"/>
      <c r="AR42" s="915"/>
      <c r="AS42" s="915"/>
      <c r="AT42" s="993">
        <f ca="1">SUM(AT43:AT46)</f>
        <v>540.0216362314586</v>
      </c>
      <c r="AU42" s="1260">
        <f ca="1">SUM(AU43:AU46)</f>
        <v>0</v>
      </c>
      <c r="AV42" s="888"/>
      <c r="AW42" s="894">
        <f ca="1">SUM(AM42:AV42)</f>
        <v>6237.06279871636</v>
      </c>
      <c r="AX42" s="890"/>
      <c r="AY42" s="896" t="s">
        <v>127</v>
      </c>
      <c r="AZ42" s="892" t="s">
        <v>122</v>
      </c>
      <c r="BA42" s="1139">
        <f ca="1">SUM(BA43:BA44)</f>
        <v>194841.11198369646</v>
      </c>
      <c r="BB42" s="1140">
        <f ca="1">SUM(BB43:BB44)</f>
        <v>111380.84308184744</v>
      </c>
      <c r="BC42" s="1141">
        <f ca="1">SUM(BC43:BC44)</f>
        <v>49.68590107278165</v>
      </c>
      <c r="BD42" s="1145"/>
      <c r="BE42" s="1143">
        <f ca="1">SUM(BE43:BE44)</f>
        <v>0</v>
      </c>
      <c r="BF42" s="1143">
        <f ca="1">SUM(BF43:BF44)</f>
        <v>0</v>
      </c>
      <c r="BG42" s="1144">
        <f ca="1">SUM(BG43:BG44)</f>
        <v>29031.44070209701</v>
      </c>
      <c r="BH42" s="1141">
        <f ca="1">1000*AU42*$AV$94</f>
        <v>0</v>
      </c>
      <c r="BI42" s="893">
        <f t="shared" si="84"/>
        <v>0</v>
      </c>
      <c r="BJ42" s="894">
        <f ca="1" t="shared" si="85"/>
        <v>335303.0816687137</v>
      </c>
      <c r="BK42" s="917">
        <f ca="1" t="shared" si="82"/>
        <v>14.504413512866744</v>
      </c>
      <c r="BL42" s="695" t="s">
        <v>94</v>
      </c>
      <c r="BM42" s="712"/>
      <c r="BN42" s="940"/>
    </row>
    <row r="43" spans="1:66" s="580" customFormat="1" ht="12.75" customHeight="1">
      <c r="A43" s="276" t="s">
        <v>128</v>
      </c>
      <c r="B43" s="723">
        <f>PMemission!B50*(B101)</f>
        <v>0</v>
      </c>
      <c r="C43" s="958">
        <f ca="1">PMemission!C50*(C101)</f>
        <v>23.243093597507325</v>
      </c>
      <c r="D43" s="959">
        <f>PMemission!D50*(D101)</f>
        <v>0</v>
      </c>
      <c r="E43" s="875">
        <f ca="1">PMemission!E50*(E101)</f>
        <v>0</v>
      </c>
      <c r="F43" s="1067">
        <f aca="true" t="shared" si="87" ref="F43:F46">F70*F87/1000000</f>
        <v>0</v>
      </c>
      <c r="G43" s="960">
        <f>PMemission!G50*(G101)</f>
        <v>0</v>
      </c>
      <c r="H43" s="960">
        <f>PMemission!H50*(H101)</f>
        <v>0</v>
      </c>
      <c r="I43" s="961">
        <f ca="1">PMemission!I50*(I101)</f>
        <v>5.98913696212888</v>
      </c>
      <c r="J43" s="875">
        <f>PMemission!J50*(J101)</f>
        <v>0</v>
      </c>
      <c r="K43" s="872">
        <f>PMemission!K50*(K101)</f>
        <v>0</v>
      </c>
      <c r="L43" s="1330">
        <f ca="1">SUM(B43:K43)</f>
        <v>29.232230559636207</v>
      </c>
      <c r="M43" s="946"/>
      <c r="N43" s="1288">
        <f>PMemission!N50*(N101)</f>
        <v>0</v>
      </c>
      <c r="O43" s="958">
        <f ca="1">PMemission!O50*(O101)</f>
        <v>0.47014439322230733</v>
      </c>
      <c r="P43" s="959">
        <f>PMemission!P50*(P101)</f>
        <v>0</v>
      </c>
      <c r="Q43" s="1289">
        <f ca="1">PMemission!Q50*(Q101)</f>
        <v>0</v>
      </c>
      <c r="R43" s="1290">
        <f aca="true" t="shared" si="88" ref="R43:R46">R70*R87/1000000</f>
        <v>0</v>
      </c>
      <c r="S43" s="960">
        <f>PMemission!S50*(S101)</f>
        <v>0</v>
      </c>
      <c r="T43" s="960">
        <f>PMemission!T50*(T101)</f>
        <v>0</v>
      </c>
      <c r="U43" s="1291">
        <f>PMemission!U50*(U101)</f>
        <v>0</v>
      </c>
      <c r="V43" s="1289">
        <f>PMemission!V50*(V101)</f>
        <v>0</v>
      </c>
      <c r="W43" s="1288">
        <f>PMemission!W50*(W101)</f>
        <v>0</v>
      </c>
      <c r="X43" s="1330">
        <f ca="1">SUM(N43:W43)</f>
        <v>0.47014439322230733</v>
      </c>
      <c r="Y43" s="1287"/>
      <c r="Z43" s="1288">
        <f>PMemission!Z50*(Z101)</f>
        <v>0</v>
      </c>
      <c r="AA43" s="958">
        <f ca="1">PMemission!AA50*(AA101)</f>
        <v>929.7237439002931</v>
      </c>
      <c r="AB43" s="959">
        <f>PMemission!AB50*(AB101)</f>
        <v>0</v>
      </c>
      <c r="AC43" s="1289">
        <f ca="1">PMemission!AC50*(AC101)</f>
        <v>0.9569746687485581</v>
      </c>
      <c r="AD43" s="1290">
        <f aca="true" t="shared" si="89" ref="AD43:AD46">AD70*AD87/1000000</f>
        <v>0</v>
      </c>
      <c r="AE43" s="960">
        <f>PMemission!AE50*(AE101)</f>
        <v>0</v>
      </c>
      <c r="AF43" s="960">
        <f>PMemission!AF50*(AF101)</f>
        <v>0</v>
      </c>
      <c r="AG43" s="1291">
        <f ca="1">PMemission!AG50*(AG101)</f>
        <v>38.234344491474836</v>
      </c>
      <c r="AH43" s="1289">
        <f ca="1">PMemission!AH50*(AH101)</f>
        <v>0</v>
      </c>
      <c r="AI43" s="1288">
        <f>PMemission!AI50*(AI101)</f>
        <v>0</v>
      </c>
      <c r="AJ43" s="1335">
        <f ca="1">SUM(Z43:AI43)</f>
        <v>968.9150630605166</v>
      </c>
      <c r="AK43" s="1272"/>
      <c r="AL43" s="1273" t="s">
        <v>128</v>
      </c>
      <c r="AM43" s="888">
        <f aca="true" t="shared" si="90" ref="AM43:AM44">B43+N43+Z43</f>
        <v>0</v>
      </c>
      <c r="AN43" s="991">
        <f aca="true" t="shared" si="91" ref="AN43:AN47">(C43+O43+AA43)*$AU$102/$AS$102</f>
        <v>920.8042040676931</v>
      </c>
      <c r="AO43" s="992">
        <f aca="true" t="shared" si="92" ref="AO43:AO47">(D43+P43+AB43)*$AU$102/$AS$102</f>
        <v>0</v>
      </c>
      <c r="AP43" s="1282">
        <f aca="true" t="shared" si="93" ref="AP43:AP47">(E43+Q43+AC43)*$AU$102/$AS$102</f>
        <v>0.9242208084085828</v>
      </c>
      <c r="AQ43" s="1023">
        <f aca="true" t="shared" si="94" ref="AQ43:AQ47">(F43+R43+AD43)*$AU$102/$AS$102</f>
        <v>0</v>
      </c>
      <c r="AR43" s="915">
        <f aca="true" t="shared" si="95" ref="AR43:AR47">(G43+S43+AE43)*$AU$102/$AS$102</f>
        <v>0</v>
      </c>
      <c r="AS43" s="915">
        <f aca="true" t="shared" si="96" ref="AS43:AS47">(H43+T43+AF43)*$AU$102/$AS$102</f>
        <v>0</v>
      </c>
      <c r="AT43" s="993">
        <f aca="true" t="shared" si="97" ref="AT43:AT47">(I43+U43+AG43)*$AU$102/$AS$102</f>
        <v>42.70986799801139</v>
      </c>
      <c r="AU43" s="895">
        <f aca="true" t="shared" si="98" ref="AU43:AU47">(J43+V43+AH43)*$AU$102/$AS$102</f>
        <v>0</v>
      </c>
      <c r="AV43" s="888"/>
      <c r="AW43" s="894">
        <f ca="1">SUM(AM43:AV43)</f>
        <v>964.4382928741131</v>
      </c>
      <c r="AX43" s="890"/>
      <c r="AY43" s="896" t="s">
        <v>128</v>
      </c>
      <c r="AZ43" s="892" t="s">
        <v>122</v>
      </c>
      <c r="BA43" s="1139">
        <f aca="true" t="shared" si="99" ref="BA43:BC44">1000*AN43*$BD$89</f>
        <v>49502.22519820511</v>
      </c>
      <c r="BB43" s="1140">
        <f ca="1" t="shared" si="99"/>
        <v>0</v>
      </c>
      <c r="BC43" s="1141">
        <f ca="1" t="shared" si="99"/>
        <v>49.68590107278165</v>
      </c>
      <c r="BD43" s="1145">
        <f ca="1">BD70*BD87/1000000</f>
        <v>0</v>
      </c>
      <c r="BE43" s="1143">
        <f aca="true" t="shared" si="100" ref="BE43:BH44">1000*AR43*$BD$89</f>
        <v>0</v>
      </c>
      <c r="BF43" s="1143">
        <f ca="1" t="shared" si="100"/>
        <v>0</v>
      </c>
      <c r="BG43" s="1144">
        <f ca="1" t="shared" si="100"/>
        <v>2296.072818177256</v>
      </c>
      <c r="BH43" s="1141">
        <f ca="1" t="shared" si="100"/>
        <v>0</v>
      </c>
      <c r="BI43" s="893">
        <f t="shared" si="84"/>
        <v>0</v>
      </c>
      <c r="BJ43" s="894">
        <f ca="1" t="shared" si="85"/>
        <v>51847.983917455145</v>
      </c>
      <c r="BK43" s="917">
        <f ca="1" t="shared" si="82"/>
        <v>2.2428204202735293</v>
      </c>
      <c r="BL43" s="695" t="s">
        <v>94</v>
      </c>
      <c r="BM43" s="712"/>
      <c r="BN43" s="940"/>
    </row>
    <row r="44" spans="1:66" s="580" customFormat="1" ht="12.75" customHeight="1" thickBot="1">
      <c r="A44" s="276" t="s">
        <v>285</v>
      </c>
      <c r="B44" s="723">
        <f>PMemission!B51*(B102)</f>
        <v>0</v>
      </c>
      <c r="C44" s="958">
        <f ca="1">PMemission!C51*(C102)</f>
        <v>68.21632410416706</v>
      </c>
      <c r="D44" s="959">
        <f ca="1">PMemission!D51*(D102)</f>
        <v>0</v>
      </c>
      <c r="E44" s="875">
        <f>PMemission!E51*(E102)</f>
        <v>0</v>
      </c>
      <c r="F44" s="1067">
        <f t="shared" si="87"/>
        <v>0</v>
      </c>
      <c r="G44" s="960">
        <f>PMemission!G51*(G102)</f>
        <v>0</v>
      </c>
      <c r="H44" s="960">
        <f>PMemission!H51*(H102)</f>
        <v>0</v>
      </c>
      <c r="I44" s="961">
        <f ca="1">PMemission!I51*(I102)</f>
        <v>69.73723948215644</v>
      </c>
      <c r="J44" s="875">
        <f>PMemission!J51*(J102)</f>
        <v>0</v>
      </c>
      <c r="K44" s="872">
        <f>PMemission!K51*(K102)</f>
        <v>0</v>
      </c>
      <c r="L44" s="1330">
        <f ca="1">SUM(B44:K44)</f>
        <v>137.9535635863235</v>
      </c>
      <c r="M44" s="946"/>
      <c r="N44" s="1288">
        <f>PMemission!N51*(N102)</f>
        <v>0</v>
      </c>
      <c r="O44" s="958">
        <f ca="1">PMemission!O51*(O102)</f>
        <v>2.4285011381083472</v>
      </c>
      <c r="P44" s="959">
        <f ca="1">PMemission!P51*(P102)</f>
        <v>0</v>
      </c>
      <c r="Q44" s="1289">
        <f>PMemission!Q51*(Q102)</f>
        <v>0</v>
      </c>
      <c r="R44" s="1290">
        <f t="shared" si="88"/>
        <v>0</v>
      </c>
      <c r="S44" s="960">
        <f>PMemission!S51*(S102)</f>
        <v>0</v>
      </c>
      <c r="T44" s="960">
        <f>PMemission!T51*(T102)</f>
        <v>0</v>
      </c>
      <c r="U44" s="1291">
        <f>PMemission!U51*(U102)</f>
        <v>0</v>
      </c>
      <c r="V44" s="1289">
        <f>PMemission!V51*(V102)</f>
        <v>0</v>
      </c>
      <c r="W44" s="1288">
        <f>PMemission!W51*(W102)</f>
        <v>0</v>
      </c>
      <c r="X44" s="1330">
        <f ca="1">SUM(N44:W44)</f>
        <v>2.4285011381083472</v>
      </c>
      <c r="Y44" s="1287"/>
      <c r="Z44" s="1288">
        <f>PMemission!Z51*(Z102)</f>
        <v>0</v>
      </c>
      <c r="AA44" s="958">
        <f ca="1">PMemission!AA51*(AA102)</f>
        <v>2728.652964166682</v>
      </c>
      <c r="AB44" s="959">
        <f ca="1">PMemission!AB51*(AB102)</f>
        <v>2145.2493184545715</v>
      </c>
      <c r="AC44" s="1289">
        <f>PMemission!AC51*(AC102)</f>
        <v>0</v>
      </c>
      <c r="AD44" s="1290">
        <f t="shared" si="89"/>
        <v>0</v>
      </c>
      <c r="AE44" s="960">
        <f>PMemission!AE51*(AE102)</f>
        <v>0</v>
      </c>
      <c r="AF44" s="960">
        <f>PMemission!AF51*(AF102)</f>
        <v>0</v>
      </c>
      <c r="AG44" s="1291">
        <f ca="1">PMemission!AG51*(AG102)</f>
        <v>445.1989752622846</v>
      </c>
      <c r="AH44" s="1289">
        <f ca="1">PMemission!AH51*(AH102)</f>
        <v>0</v>
      </c>
      <c r="AI44" s="1288">
        <f>PMemission!AI51*(AI102)</f>
        <v>0</v>
      </c>
      <c r="AJ44" s="1335">
        <f ca="1">SUM(Z44:AI44)</f>
        <v>5319.101257883538</v>
      </c>
      <c r="AK44" s="1272"/>
      <c r="AL44" s="1273" t="s">
        <v>285</v>
      </c>
      <c r="AM44" s="888">
        <f t="shared" si="90"/>
        <v>0</v>
      </c>
      <c r="AN44" s="991">
        <f ca="1" t="shared" si="91"/>
        <v>2703.487720617687</v>
      </c>
      <c r="AO44" s="992">
        <f ca="1" t="shared" si="92"/>
        <v>2071.825016991112</v>
      </c>
      <c r="AP44" s="1282">
        <f ca="1" t="shared" si="93"/>
        <v>0</v>
      </c>
      <c r="AQ44" s="1023">
        <f ca="1" t="shared" si="94"/>
        <v>0</v>
      </c>
      <c r="AR44" s="915">
        <f ca="1" t="shared" si="95"/>
        <v>0</v>
      </c>
      <c r="AS44" s="915">
        <f ca="1" t="shared" si="96"/>
        <v>0</v>
      </c>
      <c r="AT44" s="993">
        <f ca="1" t="shared" si="97"/>
        <v>497.31176823344725</v>
      </c>
      <c r="AU44" s="895">
        <f ca="1" t="shared" si="98"/>
        <v>0</v>
      </c>
      <c r="AV44" s="888"/>
      <c r="AW44" s="894">
        <f ca="1">SUM(AM44:AV44)</f>
        <v>5272.624505842246</v>
      </c>
      <c r="AX44" s="890"/>
      <c r="AY44" s="896" t="s">
        <v>285</v>
      </c>
      <c r="AZ44" s="892" t="s">
        <v>122</v>
      </c>
      <c r="BA44" s="1139">
        <f ca="1" t="shared" si="99"/>
        <v>145338.88678549137</v>
      </c>
      <c r="BB44" s="1140">
        <f ca="1" t="shared" si="99"/>
        <v>111380.84308184744</v>
      </c>
      <c r="BC44" s="1141">
        <f ca="1" t="shared" si="99"/>
        <v>0</v>
      </c>
      <c r="BD44" s="1157"/>
      <c r="BE44" s="1143">
        <f ca="1" t="shared" si="100"/>
        <v>0</v>
      </c>
      <c r="BF44" s="1143">
        <f ca="1" t="shared" si="100"/>
        <v>0</v>
      </c>
      <c r="BG44" s="1144">
        <f ca="1" t="shared" si="100"/>
        <v>26735.367883919753</v>
      </c>
      <c r="BH44" s="1141">
        <f ca="1" t="shared" si="100"/>
        <v>0</v>
      </c>
      <c r="BI44" s="893">
        <f t="shared" si="84"/>
        <v>0</v>
      </c>
      <c r="BJ44" s="894">
        <f ca="1" t="shared" si="85"/>
        <v>283455.0977512586</v>
      </c>
      <c r="BK44" s="917">
        <f ca="1" t="shared" si="82"/>
        <v>12.261593092593214</v>
      </c>
      <c r="BL44" s="695" t="s">
        <v>94</v>
      </c>
      <c r="BM44" s="712"/>
      <c r="BN44" s="940"/>
    </row>
    <row r="45" spans="1:66" s="580" customFormat="1" ht="12.75" customHeight="1">
      <c r="A45" s="276" t="s">
        <v>134</v>
      </c>
      <c r="B45" s="723">
        <f>PMemission!B52*(B103)</f>
        <v>0</v>
      </c>
      <c r="C45" s="958">
        <f>PMemission!C52*(C103)</f>
        <v>0</v>
      </c>
      <c r="D45" s="959">
        <f>PMemission!D52*(D103)</f>
        <v>0</v>
      </c>
      <c r="E45" s="875">
        <f>PMemission!E52*(E103)</f>
        <v>0</v>
      </c>
      <c r="F45" s="1067">
        <f t="shared" si="87"/>
        <v>0</v>
      </c>
      <c r="G45" s="960">
        <f>PMemission!G52*(G103)</f>
        <v>0</v>
      </c>
      <c r="H45" s="960">
        <f>PMemission!H52*(H103)</f>
        <v>0</v>
      </c>
      <c r="I45" s="961">
        <f>PMemission!I52*(I103)</f>
        <v>0</v>
      </c>
      <c r="J45" s="875">
        <f>PMemission!J52*(J103)</f>
        <v>0</v>
      </c>
      <c r="K45" s="872">
        <f>PMemission!K52*(K103)</f>
        <v>0</v>
      </c>
      <c r="L45" s="1330">
        <f aca="true" t="shared" si="101" ref="L45:L48">SUM(B45:K45)</f>
        <v>0</v>
      </c>
      <c r="M45" s="946"/>
      <c r="N45" s="1288">
        <f>PMemission!N52*(N103)</f>
        <v>0</v>
      </c>
      <c r="O45" s="958">
        <f>PMemission!O52*(O103)</f>
        <v>0</v>
      </c>
      <c r="P45" s="959">
        <f>PMemission!P52*(P103)</f>
        <v>0</v>
      </c>
      <c r="Q45" s="1289">
        <f>PMemission!Q52*(Q103)</f>
        <v>0</v>
      </c>
      <c r="R45" s="1290">
        <f t="shared" si="88"/>
        <v>0</v>
      </c>
      <c r="S45" s="960">
        <f>PMemission!S52*(S103)</f>
        <v>0</v>
      </c>
      <c r="T45" s="960">
        <f>PMemission!T52*(T103)</f>
        <v>0</v>
      </c>
      <c r="U45" s="1291">
        <f>PMemission!U52*(U103)</f>
        <v>0</v>
      </c>
      <c r="V45" s="1289">
        <f>PMemission!V52*(V103)</f>
        <v>0</v>
      </c>
      <c r="W45" s="1288">
        <f>PMemission!W52*(W103)</f>
        <v>0</v>
      </c>
      <c r="X45" s="1330">
        <f aca="true" t="shared" si="102" ref="X45:X48">SUM(N45:W45)</f>
        <v>0</v>
      </c>
      <c r="Y45" s="1287"/>
      <c r="Z45" s="1288">
        <f>PMemission!Z52*(Z103)</f>
        <v>0</v>
      </c>
      <c r="AA45" s="958">
        <f>PMemission!AA52*(AA103)</f>
        <v>0</v>
      </c>
      <c r="AB45" s="959">
        <f>PMemission!AB52*(AB103)</f>
        <v>0</v>
      </c>
      <c r="AC45" s="1289">
        <f>PMemission!AC52*(AC103)</f>
        <v>0</v>
      </c>
      <c r="AD45" s="1290">
        <f t="shared" si="89"/>
        <v>0</v>
      </c>
      <c r="AE45" s="960">
        <f>PMemission!AE52*(AE103)</f>
        <v>0</v>
      </c>
      <c r="AF45" s="960">
        <f>PMemission!AF52*(AF103)</f>
        <v>0</v>
      </c>
      <c r="AG45" s="1291">
        <f>PMemission!AG52*(AG103)</f>
        <v>0</v>
      </c>
      <c r="AH45" s="1289">
        <f>PMemission!AH52*(AH103)</f>
        <v>0</v>
      </c>
      <c r="AI45" s="1288">
        <f>PMemission!AI52*(AI103)</f>
        <v>0</v>
      </c>
      <c r="AJ45" s="1335">
        <f aca="true" t="shared" si="103" ref="AJ45:AJ48">SUM(Z45:AI45)</f>
        <v>0</v>
      </c>
      <c r="AK45" s="1272"/>
      <c r="AL45" s="1273" t="s">
        <v>134</v>
      </c>
      <c r="AM45" s="888" t="s">
        <v>122</v>
      </c>
      <c r="AN45" s="991">
        <f ca="1" t="shared" si="91"/>
        <v>0</v>
      </c>
      <c r="AO45" s="992">
        <f ca="1" t="shared" si="92"/>
        <v>0</v>
      </c>
      <c r="AP45" s="1282">
        <f ca="1" t="shared" si="93"/>
        <v>0</v>
      </c>
      <c r="AQ45" s="1023">
        <f ca="1" t="shared" si="94"/>
        <v>0</v>
      </c>
      <c r="AR45" s="915">
        <f ca="1" t="shared" si="95"/>
        <v>0</v>
      </c>
      <c r="AS45" s="915">
        <f ca="1" t="shared" si="96"/>
        <v>0</v>
      </c>
      <c r="AT45" s="993">
        <f ca="1" t="shared" si="97"/>
        <v>0</v>
      </c>
      <c r="AU45" s="1282">
        <f ca="1" t="shared" si="98"/>
        <v>0</v>
      </c>
      <c r="AV45" s="888"/>
      <c r="AW45" s="894">
        <f aca="true" t="shared" si="104" ref="AW45:AW48">SUM(AM45:AV45)</f>
        <v>0</v>
      </c>
      <c r="AX45" s="890"/>
      <c r="AY45" s="896" t="s">
        <v>134</v>
      </c>
      <c r="AZ45" s="1164" t="s">
        <v>122</v>
      </c>
      <c r="BA45" s="1164">
        <f aca="true" t="shared" si="105" ref="BA45:BA46">1000*AN45*$AV$94</f>
        <v>0</v>
      </c>
      <c r="BB45" s="1168">
        <f aca="true" t="shared" si="106" ref="BB45:BB46">1000*AO45*$AV$94</f>
        <v>0</v>
      </c>
      <c r="BC45" s="1169">
        <f aca="true" t="shared" si="107" ref="BC45:BC46">1000*AP45*$AV$94</f>
        <v>0</v>
      </c>
      <c r="BD45" s="1158">
        <f ca="1">-1000000*Mtoe!S86*Intake!BK100</f>
        <v>-199590.68777480288</v>
      </c>
      <c r="BE45" s="1159">
        <f aca="true" t="shared" si="108" ref="BE45:BE46">1000*AR45*$AV$94</f>
        <v>0</v>
      </c>
      <c r="BF45" s="1159">
        <f aca="true" t="shared" si="109" ref="BF45:BF46">1000*AS45*$AV$94</f>
        <v>0</v>
      </c>
      <c r="BG45" s="1160">
        <f aca="true" t="shared" si="110" ref="BG45:BG46">1000*AT45*$AV$94</f>
        <v>0</v>
      </c>
      <c r="BH45" s="1169">
        <f aca="true" t="shared" si="111" ref="BH45:BH46">1000*AU45*$AV$94</f>
        <v>0</v>
      </c>
      <c r="BI45" s="1164">
        <f t="shared" si="84"/>
        <v>0</v>
      </c>
      <c r="BJ45" s="1165">
        <f ca="1" t="shared" si="85"/>
        <v>-199590.68777480288</v>
      </c>
      <c r="BK45" s="1462" t="s">
        <v>394</v>
      </c>
      <c r="BL45" s="1463"/>
      <c r="BM45" s="712"/>
      <c r="BN45" s="940"/>
    </row>
    <row r="46" spans="1:66" s="580" customFormat="1" ht="12.75" customHeight="1" thickBot="1">
      <c r="A46" s="276" t="s">
        <v>131</v>
      </c>
      <c r="B46" s="723">
        <f>PMemission!B53*(B104)</f>
        <v>0</v>
      </c>
      <c r="C46" s="958">
        <f>PMemission!C53*(C104)</f>
        <v>0</v>
      </c>
      <c r="D46" s="959">
        <f>PMemission!D53*(D104)</f>
        <v>0</v>
      </c>
      <c r="E46" s="875">
        <f>PMemission!E53*(E104)</f>
        <v>0</v>
      </c>
      <c r="F46" s="1067">
        <f t="shared" si="87"/>
        <v>0</v>
      </c>
      <c r="G46" s="960">
        <f>PMemission!G53*(G104)</f>
        <v>0</v>
      </c>
      <c r="H46" s="960">
        <f>PMemission!H53*(H104)</f>
        <v>0</v>
      </c>
      <c r="I46" s="961">
        <f>PMemission!I53*(I104)</f>
        <v>0</v>
      </c>
      <c r="J46" s="875">
        <f>PMemission!J53*(J104)</f>
        <v>0</v>
      </c>
      <c r="K46" s="872">
        <f>PMemission!K53*(K104)</f>
        <v>0</v>
      </c>
      <c r="L46" s="1330">
        <f t="shared" si="101"/>
        <v>0</v>
      </c>
      <c r="M46" s="946"/>
      <c r="N46" s="1288">
        <f>PMemission!N53*(N104)</f>
        <v>0</v>
      </c>
      <c r="O46" s="958">
        <f>PMemission!O53*(O104)</f>
        <v>0</v>
      </c>
      <c r="P46" s="959">
        <f>PMemission!P53*(P104)</f>
        <v>0</v>
      </c>
      <c r="Q46" s="1289">
        <f>PMemission!Q53*(Q104)</f>
        <v>0</v>
      </c>
      <c r="R46" s="1290">
        <f t="shared" si="88"/>
        <v>0</v>
      </c>
      <c r="S46" s="960">
        <f>PMemission!S53*(S104)</f>
        <v>0</v>
      </c>
      <c r="T46" s="960">
        <f>PMemission!T53*(T104)</f>
        <v>0</v>
      </c>
      <c r="U46" s="1291">
        <f>PMemission!U53*(U104)</f>
        <v>0</v>
      </c>
      <c r="V46" s="1289">
        <f>PMemission!V53*(V104)</f>
        <v>0</v>
      </c>
      <c r="W46" s="1288">
        <f>PMemission!W53*(W104)</f>
        <v>0</v>
      </c>
      <c r="X46" s="1330">
        <f t="shared" si="102"/>
        <v>0</v>
      </c>
      <c r="Y46" s="1287"/>
      <c r="Z46" s="1288">
        <f>PMemission!Z53*(Z104)</f>
        <v>0</v>
      </c>
      <c r="AA46" s="958">
        <f>PMemission!AA53*(AA104)</f>
        <v>0</v>
      </c>
      <c r="AB46" s="959">
        <f>PMemission!AB53*(AB104)</f>
        <v>0</v>
      </c>
      <c r="AC46" s="1289">
        <f>PMemission!AC53*(AC104)</f>
        <v>0</v>
      </c>
      <c r="AD46" s="1290">
        <f t="shared" si="89"/>
        <v>0</v>
      </c>
      <c r="AE46" s="960">
        <f>PMemission!AE53*(AE104)</f>
        <v>0</v>
      </c>
      <c r="AF46" s="960">
        <f>PMemission!AF53*(AF104)</f>
        <v>0</v>
      </c>
      <c r="AG46" s="1291">
        <f>PMemission!AG53*(AG104)</f>
        <v>0</v>
      </c>
      <c r="AH46" s="1289">
        <f>PMemission!AH53*(AH104)</f>
        <v>0</v>
      </c>
      <c r="AI46" s="1288">
        <f>PMemission!AI53*(AI104)</f>
        <v>0</v>
      </c>
      <c r="AJ46" s="1335">
        <f t="shared" si="103"/>
        <v>0</v>
      </c>
      <c r="AK46" s="1272"/>
      <c r="AL46" s="1273" t="s">
        <v>131</v>
      </c>
      <c r="AM46" s="888" t="s">
        <v>122</v>
      </c>
      <c r="AN46" s="991">
        <f ca="1" t="shared" si="91"/>
        <v>0</v>
      </c>
      <c r="AO46" s="992">
        <f ca="1" t="shared" si="92"/>
        <v>0</v>
      </c>
      <c r="AP46" s="1282">
        <f ca="1" t="shared" si="93"/>
        <v>0</v>
      </c>
      <c r="AQ46" s="1023">
        <f ca="1" t="shared" si="94"/>
        <v>0</v>
      </c>
      <c r="AR46" s="915">
        <f ca="1" t="shared" si="95"/>
        <v>0</v>
      </c>
      <c r="AS46" s="915">
        <f ca="1" t="shared" si="96"/>
        <v>0</v>
      </c>
      <c r="AT46" s="993">
        <f ca="1" t="shared" si="97"/>
        <v>0</v>
      </c>
      <c r="AU46" s="1282">
        <f ca="1" t="shared" si="98"/>
        <v>0</v>
      </c>
      <c r="AV46" s="888"/>
      <c r="AW46" s="894">
        <f ca="1" t="shared" si="104"/>
        <v>0</v>
      </c>
      <c r="AX46" s="890"/>
      <c r="AY46" s="896" t="s">
        <v>131</v>
      </c>
      <c r="AZ46" s="1166" t="s">
        <v>122</v>
      </c>
      <c r="BA46" s="1166">
        <f ca="1" t="shared" si="105"/>
        <v>0</v>
      </c>
      <c r="BB46" s="1170">
        <f ca="1" t="shared" si="106"/>
        <v>0</v>
      </c>
      <c r="BC46" s="1171">
        <f ca="1" t="shared" si="107"/>
        <v>0</v>
      </c>
      <c r="BD46" s="1161">
        <f ca="1">-1000000*Mtoe!S87*Intake!BK100</f>
        <v>-99795.34388740144</v>
      </c>
      <c r="BE46" s="1162">
        <f ca="1" t="shared" si="108"/>
        <v>0</v>
      </c>
      <c r="BF46" s="1162">
        <f ca="1" t="shared" si="109"/>
        <v>0</v>
      </c>
      <c r="BG46" s="1163">
        <f ca="1" t="shared" si="110"/>
        <v>0</v>
      </c>
      <c r="BH46" s="1171">
        <f ca="1" t="shared" si="111"/>
        <v>0</v>
      </c>
      <c r="BI46" s="1166">
        <f t="shared" si="84"/>
        <v>0</v>
      </c>
      <c r="BJ46" s="1167">
        <f ca="1" t="shared" si="85"/>
        <v>-99795.34388740144</v>
      </c>
      <c r="BK46" s="1464"/>
      <c r="BL46" s="1465"/>
      <c r="BM46" s="712"/>
      <c r="BN46" s="940"/>
    </row>
    <row r="47" spans="1:66" s="580" customFormat="1" ht="12.75" customHeight="1">
      <c r="A47" s="226" t="s">
        <v>132</v>
      </c>
      <c r="B47" s="722">
        <f>PMemission!B54*(B105)</f>
        <v>0</v>
      </c>
      <c r="C47" s="954">
        <f ca="1">PMemission!C54*(C105)</f>
        <v>75.82748011686509</v>
      </c>
      <c r="D47" s="955">
        <f>PMemission!D54*(D105)</f>
        <v>0</v>
      </c>
      <c r="E47" s="868">
        <f>PMemission!E54*(E105)</f>
        <v>0</v>
      </c>
      <c r="F47" s="969">
        <f>F74*F91/1000000</f>
        <v>0</v>
      </c>
      <c r="G47" s="956">
        <f>PMemission!G54*(G105)</f>
        <v>0</v>
      </c>
      <c r="H47" s="956">
        <f>PMemission!H54*(H105)</f>
        <v>0</v>
      </c>
      <c r="I47" s="957">
        <f ca="1">PMemission!I54*(I105)</f>
        <v>19.538757266016997</v>
      </c>
      <c r="J47" s="868">
        <f>PMemission!J54*(J105)</f>
        <v>0</v>
      </c>
      <c r="K47" s="865">
        <f>PMemission!K54*(K105)</f>
        <v>0</v>
      </c>
      <c r="L47" s="1329">
        <f ca="1">SUM(B47:K47)</f>
        <v>95.36623738288209</v>
      </c>
      <c r="M47" s="946"/>
      <c r="N47" s="1283">
        <f>PMemission!N54*(N105)</f>
        <v>0</v>
      </c>
      <c r="O47" s="954">
        <f ca="1">PMemission!O54*(O105)</f>
        <v>2.699458292160397</v>
      </c>
      <c r="P47" s="955">
        <f>PMemission!P54*(P105)</f>
        <v>0</v>
      </c>
      <c r="Q47" s="1284">
        <f>PMemission!Q54*(Q105)</f>
        <v>0</v>
      </c>
      <c r="R47" s="1285">
        <f>R74*R91/1000000</f>
        <v>0</v>
      </c>
      <c r="S47" s="956">
        <f>PMemission!S54*(S105)</f>
        <v>0</v>
      </c>
      <c r="T47" s="956">
        <f>PMemission!T54*(T105)</f>
        <v>0</v>
      </c>
      <c r="U47" s="1286">
        <f>PMemission!U54*(U105)</f>
        <v>0</v>
      </c>
      <c r="V47" s="1284">
        <f>PMemission!V54*(V105)</f>
        <v>0</v>
      </c>
      <c r="W47" s="1283">
        <f>PMemission!W54*(W105)</f>
        <v>0</v>
      </c>
      <c r="X47" s="1329">
        <f ca="1">SUM(N47:W47)</f>
        <v>2.699458292160397</v>
      </c>
      <c r="Y47" s="1287"/>
      <c r="Z47" s="1283">
        <f>PMemission!Z54*(Z105)</f>
        <v>0</v>
      </c>
      <c r="AA47" s="954">
        <f ca="1">PMemission!AA54*(AA105)</f>
        <v>4549.648807011905</v>
      </c>
      <c r="AB47" s="955">
        <f>PMemission!AB54*(AB105)</f>
        <v>0</v>
      </c>
      <c r="AC47" s="1284">
        <f>PMemission!AC54*(AC105)</f>
        <v>0</v>
      </c>
      <c r="AD47" s="1285">
        <f>AD74*AD91/1000000</f>
        <v>0</v>
      </c>
      <c r="AE47" s="956">
        <f>PMemission!AE54*(AE105)</f>
        <v>0</v>
      </c>
      <c r="AF47" s="956">
        <f>PMemission!AF54*(AF105)</f>
        <v>0</v>
      </c>
      <c r="AG47" s="1286">
        <f ca="1">PMemission!AG54*(AG105)</f>
        <v>187.1016427662366</v>
      </c>
      <c r="AH47" s="1284">
        <f>PMemission!AH54*(AH105)</f>
        <v>0</v>
      </c>
      <c r="AI47" s="1283">
        <f>PMemission!AI54*(AI105)</f>
        <v>0</v>
      </c>
      <c r="AJ47" s="1334">
        <f ca="1">SUM(Z47:AI47)</f>
        <v>4736.750449778141</v>
      </c>
      <c r="AK47" s="1272"/>
      <c r="AL47" s="1273" t="s">
        <v>132</v>
      </c>
      <c r="AM47" s="888">
        <f aca="true" t="shared" si="112" ref="AM47:AM53">B47+N47+Z47</f>
        <v>0</v>
      </c>
      <c r="AN47" s="991">
        <f ca="1" t="shared" si="91"/>
        <v>4469.769648640317</v>
      </c>
      <c r="AO47" s="992">
        <f ca="1" t="shared" si="92"/>
        <v>0</v>
      </c>
      <c r="AP47" s="1282">
        <f ca="1" t="shared" si="93"/>
        <v>0</v>
      </c>
      <c r="AQ47" s="1023">
        <f ca="1" t="shared" si="94"/>
        <v>0</v>
      </c>
      <c r="AR47" s="915">
        <f ca="1" t="shared" si="95"/>
        <v>0</v>
      </c>
      <c r="AS47" s="915">
        <f ca="1" t="shared" si="96"/>
        <v>0</v>
      </c>
      <c r="AT47" s="993">
        <f ca="1" t="shared" si="97"/>
        <v>199.56782954080685</v>
      </c>
      <c r="AU47" s="624">
        <f ca="1" t="shared" si="98"/>
        <v>0</v>
      </c>
      <c r="AV47" s="888"/>
      <c r="AW47" s="894">
        <f ca="1">SUM(AM47:AV47)</f>
        <v>4669.337478181124</v>
      </c>
      <c r="AX47" s="890"/>
      <c r="AY47" s="896" t="s">
        <v>132</v>
      </c>
      <c r="AZ47" s="892">
        <f aca="true" t="shared" si="113" ref="AZ47:AZ53">1000*AM47*$AV$94</f>
        <v>0</v>
      </c>
      <c r="BA47" s="1139">
        <f aca="true" t="shared" si="114" ref="BA47:BC53">1000*AN47*$BD$89</f>
        <v>240293.80269296523</v>
      </c>
      <c r="BB47" s="1140">
        <f ca="1" t="shared" si="114"/>
        <v>0</v>
      </c>
      <c r="BC47" s="1141">
        <f ca="1" t="shared" si="114"/>
        <v>0</v>
      </c>
      <c r="BD47" s="1145">
        <f>BD74*BD91/1000000</f>
        <v>0</v>
      </c>
      <c r="BE47" s="1143">
        <f aca="true" t="shared" si="115" ref="BE47:BH53">1000*AR47*$BD$89</f>
        <v>0</v>
      </c>
      <c r="BF47" s="1143">
        <f ca="1" t="shared" si="115"/>
        <v>0</v>
      </c>
      <c r="BG47" s="1144">
        <f ca="1" t="shared" si="115"/>
        <v>10728.721259747605</v>
      </c>
      <c r="BH47" s="1141">
        <f ca="1" t="shared" si="115"/>
        <v>0</v>
      </c>
      <c r="BI47" s="893">
        <f t="shared" si="84"/>
        <v>0</v>
      </c>
      <c r="BJ47" s="894">
        <f ca="1" t="shared" si="85"/>
        <v>251022.52395271283</v>
      </c>
      <c r="BK47" s="917">
        <f aca="true" t="shared" si="116" ref="BK47:BK53">100*BJ47/BJ$6</f>
        <v>10.858637118196729</v>
      </c>
      <c r="BL47" s="695" t="s">
        <v>94</v>
      </c>
      <c r="BM47" s="712"/>
      <c r="BN47" s="940"/>
    </row>
    <row r="48" spans="1:66" s="580" customFormat="1" ht="12.75" customHeight="1">
      <c r="A48" s="261" t="s">
        <v>39</v>
      </c>
      <c r="B48" s="724">
        <f>PMemission!B55*(B106)</f>
        <v>11.5478515625</v>
      </c>
      <c r="C48" s="725">
        <f>PMemission!C55*(C106)</f>
        <v>3.4749999999999996</v>
      </c>
      <c r="D48" s="726">
        <f>PMemission!D55*(D106)</f>
        <v>0</v>
      </c>
      <c r="E48" s="727">
        <f>PMemission!E55*(E106)</f>
        <v>0</v>
      </c>
      <c r="F48" s="1068"/>
      <c r="G48" s="728">
        <f>PMemission!G55*(G106)</f>
        <v>0</v>
      </c>
      <c r="H48" s="728">
        <f>PMemission!H55*(H106)</f>
        <v>0</v>
      </c>
      <c r="I48" s="627">
        <f>PMemission!I55*(I106)</f>
        <v>0</v>
      </c>
      <c r="J48" s="727">
        <f>PMemission!J55*(J106)</f>
        <v>0</v>
      </c>
      <c r="K48" s="724">
        <f>PMemission!K55*(K106)</f>
        <v>0</v>
      </c>
      <c r="L48" s="1331">
        <f t="shared" si="101"/>
        <v>15.0228515625</v>
      </c>
      <c r="M48" s="275"/>
      <c r="N48" s="1292">
        <f>PMemission!N55*(N106)</f>
        <v>0.6680432128906251</v>
      </c>
      <c r="O48" s="725">
        <f>PMemission!O55*(O106)</f>
        <v>0.502571875</v>
      </c>
      <c r="P48" s="726">
        <f>PMemission!P55*(P106)</f>
        <v>0</v>
      </c>
      <c r="Q48" s="1293">
        <f>PMemission!Q55*(Q106)</f>
        <v>0</v>
      </c>
      <c r="R48" s="1294"/>
      <c r="S48" s="728">
        <f>PMemission!S55*(S106)</f>
        <v>0</v>
      </c>
      <c r="T48" s="728">
        <f>PMemission!T55*(T106)</f>
        <v>0</v>
      </c>
      <c r="U48" s="1295">
        <f>PMemission!U55*(U106)</f>
        <v>0</v>
      </c>
      <c r="V48" s="1293">
        <f>PMemission!V55*(V106)</f>
        <v>0</v>
      </c>
      <c r="W48" s="1292">
        <f>PMemission!W55*(W106)</f>
        <v>0</v>
      </c>
      <c r="X48" s="1331">
        <f t="shared" si="102"/>
        <v>1.1706150878906252</v>
      </c>
      <c r="Y48" s="731"/>
      <c r="Z48" s="1292">
        <f>PMemission!Z55*(Z106)</f>
        <v>0.625</v>
      </c>
      <c r="AA48" s="725">
        <f>PMemission!AA55*(AA106)</f>
        <v>208.5</v>
      </c>
      <c r="AB48" s="726">
        <f>PMemission!AB55*(AB106)</f>
        <v>0</v>
      </c>
      <c r="AC48" s="1293">
        <f>PMemission!AC55*(AC106)</f>
        <v>0</v>
      </c>
      <c r="AD48" s="1294"/>
      <c r="AE48" s="728">
        <f>PMemission!AE55*(AE106)</f>
        <v>0</v>
      </c>
      <c r="AF48" s="728">
        <f>PMemission!AF55*(AF106)</f>
        <v>0</v>
      </c>
      <c r="AG48" s="1295">
        <f>PMemission!AG55*(AG106)</f>
        <v>0</v>
      </c>
      <c r="AH48" s="1293">
        <f>PMemission!AH55*(AH106)</f>
        <v>0</v>
      </c>
      <c r="AI48" s="1292">
        <f>PMemission!AI55*(AI106)</f>
        <v>0</v>
      </c>
      <c r="AJ48" s="1336">
        <f t="shared" si="103"/>
        <v>209.125</v>
      </c>
      <c r="AK48" s="1296"/>
      <c r="AL48" s="774" t="s">
        <v>39</v>
      </c>
      <c r="AM48" s="709">
        <f t="shared" si="112"/>
        <v>12.840894775390625</v>
      </c>
      <c r="AN48" s="994">
        <f aca="true" t="shared" si="117" ref="AN48:AN53">C48+O48+AA48</f>
        <v>212.477571875</v>
      </c>
      <c r="AO48" s="995">
        <f aca="true" t="shared" si="118" ref="AO48:AO50">D48+P48+AB48</f>
        <v>0</v>
      </c>
      <c r="AP48" s="1297">
        <f aca="true" t="shared" si="119" ref="AP48:AP50">E48+Q48+AC48</f>
        <v>0</v>
      </c>
      <c r="AQ48" s="1298"/>
      <c r="AR48" s="996">
        <f aca="true" t="shared" si="120" ref="AR48:AR50">G48+S48+AE48</f>
        <v>0</v>
      </c>
      <c r="AS48" s="996">
        <f aca="true" t="shared" si="121" ref="AS48:AS50">H48+T48+AF48</f>
        <v>0</v>
      </c>
      <c r="AT48" s="997">
        <f aca="true" t="shared" si="122" ref="AT48:AT50">I48+U48+AG48</f>
        <v>0</v>
      </c>
      <c r="AU48" s="624">
        <f ca="1">AU$21*(Mtoe!$AI62/Mtoe!$AI$35)</f>
        <v>174.40642543490122</v>
      </c>
      <c r="AV48" s="709"/>
      <c r="AW48" s="117">
        <f ca="1" t="shared" si="104"/>
        <v>399.72489208529186</v>
      </c>
      <c r="AX48" s="716"/>
      <c r="AY48" s="718" t="s">
        <v>39</v>
      </c>
      <c r="AZ48" s="719">
        <f t="shared" si="113"/>
        <v>0</v>
      </c>
      <c r="BA48" s="1146">
        <f ca="1" t="shared" si="114"/>
        <v>11422.746080067658</v>
      </c>
      <c r="BB48" s="1147">
        <f ca="1" t="shared" si="114"/>
        <v>0</v>
      </c>
      <c r="BC48" s="1148">
        <f ca="1" t="shared" si="114"/>
        <v>0</v>
      </c>
      <c r="BD48" s="1149"/>
      <c r="BE48" s="1150">
        <f ca="1" t="shared" si="115"/>
        <v>0</v>
      </c>
      <c r="BF48" s="1150">
        <f ca="1" t="shared" si="115"/>
        <v>0</v>
      </c>
      <c r="BG48" s="1151">
        <f ca="1" t="shared" si="115"/>
        <v>0</v>
      </c>
      <c r="BH48" s="1148">
        <f ca="1" t="shared" si="115"/>
        <v>9376.04988091231</v>
      </c>
      <c r="BI48" s="720">
        <f t="shared" si="84"/>
        <v>0</v>
      </c>
      <c r="BJ48" s="117">
        <f ca="1" t="shared" si="85"/>
        <v>20798.795960979965</v>
      </c>
      <c r="BK48" s="4">
        <f ca="1" t="shared" si="116"/>
        <v>0.8997064258593855</v>
      </c>
      <c r="BL48" s="695" t="s">
        <v>94</v>
      </c>
      <c r="BM48" s="712"/>
      <c r="BN48" s="940"/>
    </row>
    <row r="49" spans="1:66" s="580" customFormat="1" ht="12.75" customHeight="1">
      <c r="A49" s="721" t="s">
        <v>127</v>
      </c>
      <c r="B49" s="722">
        <f>PMemission!B56*(B107)</f>
        <v>0</v>
      </c>
      <c r="C49" s="954">
        <f ca="1">PMemission!C56*(C107)</f>
        <v>1.8192980229221625</v>
      </c>
      <c r="D49" s="955">
        <f>PMemission!D56*(D107)</f>
        <v>0</v>
      </c>
      <c r="E49" s="868">
        <f>PMemission!E56*(E107)</f>
        <v>0</v>
      </c>
      <c r="F49" s="969">
        <f aca="true" t="shared" si="123" ref="F49:F50">F76*F93/1000000</f>
        <v>0</v>
      </c>
      <c r="G49" s="956">
        <f>PMemission!G56*(G107)</f>
        <v>0</v>
      </c>
      <c r="H49" s="956">
        <f>PMemission!H56*(H107)</f>
        <v>0</v>
      </c>
      <c r="I49" s="957">
        <f>PMemission!I56*(I107)</f>
        <v>0</v>
      </c>
      <c r="J49" s="868">
        <f>PMemission!J56*(J107)</f>
        <v>0</v>
      </c>
      <c r="K49" s="865">
        <f>PMemission!K56*(K107)</f>
        <v>0</v>
      </c>
      <c r="L49" s="1329">
        <f ca="1">SUM(B49:K49)</f>
        <v>1.8192980229221625</v>
      </c>
      <c r="M49" s="946"/>
      <c r="N49" s="1283">
        <f>PMemission!N56*(N107)</f>
        <v>0</v>
      </c>
      <c r="O49" s="954">
        <f ca="1">PMemission!O56*(O107)</f>
        <v>0.20252449605903414</v>
      </c>
      <c r="P49" s="955">
        <f>PMemission!P56*(P107)</f>
        <v>0</v>
      </c>
      <c r="Q49" s="1284">
        <f>PMemission!Q56*(Q107)</f>
        <v>0</v>
      </c>
      <c r="R49" s="1285">
        <f aca="true" t="shared" si="124" ref="R49:R50">R76*R93/1000000</f>
        <v>0</v>
      </c>
      <c r="S49" s="956">
        <f>PMemission!S56*(S107)</f>
        <v>0</v>
      </c>
      <c r="T49" s="956">
        <f>PMemission!T56*(T107)</f>
        <v>0</v>
      </c>
      <c r="U49" s="1286">
        <f>PMemission!U56*(U107)</f>
        <v>0</v>
      </c>
      <c r="V49" s="1284">
        <f>PMemission!V56*(V107)</f>
        <v>0</v>
      </c>
      <c r="W49" s="1283">
        <f>PMemission!W56*(W107)</f>
        <v>0</v>
      </c>
      <c r="X49" s="1329">
        <f ca="1">SUM(N49:W49)</f>
        <v>0.20252449605903414</v>
      </c>
      <c r="Y49" s="1287"/>
      <c r="Z49" s="1283">
        <f>PMemission!Z56*(Z107)</f>
        <v>0</v>
      </c>
      <c r="AA49" s="954">
        <f ca="1">PMemission!AA56*(AA107)</f>
        <v>109.15788137532975</v>
      </c>
      <c r="AB49" s="955">
        <f>PMemission!AB56*(AB107)</f>
        <v>0</v>
      </c>
      <c r="AC49" s="1284">
        <f>PMemission!AC56*(AC107)</f>
        <v>0</v>
      </c>
      <c r="AD49" s="1285">
        <f aca="true" t="shared" si="125" ref="AD49:AD50">AD76*AD93/1000000</f>
        <v>0</v>
      </c>
      <c r="AE49" s="956">
        <f>PMemission!AE56*(AE107)</f>
        <v>0</v>
      </c>
      <c r="AF49" s="956">
        <f>PMemission!AF56*(AF107)</f>
        <v>0</v>
      </c>
      <c r="AG49" s="1286">
        <f>PMemission!AG56*(AG107)</f>
        <v>0</v>
      </c>
      <c r="AH49" s="1284">
        <f ca="1">PMemission!AH56*(AH107)</f>
        <v>0</v>
      </c>
      <c r="AI49" s="1283">
        <f>PMemission!AI56*(AI107)</f>
        <v>0</v>
      </c>
      <c r="AJ49" s="1334">
        <f ca="1">SUM(Z49:AI49)</f>
        <v>109.15788137532975</v>
      </c>
      <c r="AK49" s="1272"/>
      <c r="AL49" s="1273" t="s">
        <v>127</v>
      </c>
      <c r="AM49" s="888">
        <f t="shared" si="112"/>
        <v>0</v>
      </c>
      <c r="AN49" s="991">
        <f aca="true" t="shared" si="126" ref="AN49:AN50">(C49+O49+AA49)*$AU$102/$AS$102</f>
        <v>107.37441561143908</v>
      </c>
      <c r="AO49" s="992">
        <f t="shared" si="118"/>
        <v>0</v>
      </c>
      <c r="AP49" s="1282">
        <f t="shared" si="119"/>
        <v>0</v>
      </c>
      <c r="AQ49" s="1023">
        <f aca="true" t="shared" si="127" ref="AQ49:AQ50">AQ76*AQ93/1000000</f>
        <v>0</v>
      </c>
      <c r="AR49" s="915">
        <f t="shared" si="120"/>
        <v>0</v>
      </c>
      <c r="AS49" s="915">
        <f t="shared" si="121"/>
        <v>0</v>
      </c>
      <c r="AT49" s="993">
        <f t="shared" si="122"/>
        <v>0</v>
      </c>
      <c r="AU49" s="895">
        <f ca="1">AU$21*(Mtoe!$AI63/Mtoe!$AI$35)*($AU$102/$AS$102)</f>
        <v>114.45723110274098</v>
      </c>
      <c r="AV49" s="888"/>
      <c r="AW49" s="894">
        <f ca="1">SUM(AM49:AV49)</f>
        <v>221.83164671418007</v>
      </c>
      <c r="AX49" s="890"/>
      <c r="AY49" s="896" t="s">
        <v>127</v>
      </c>
      <c r="AZ49" s="892">
        <f t="shared" si="113"/>
        <v>0</v>
      </c>
      <c r="BA49" s="1139">
        <f ca="1" t="shared" si="114"/>
        <v>5772.424233775951</v>
      </c>
      <c r="BB49" s="1140">
        <f ca="1" t="shared" si="114"/>
        <v>0</v>
      </c>
      <c r="BC49" s="1141">
        <f ca="1" t="shared" si="114"/>
        <v>0</v>
      </c>
      <c r="BD49" s="1145">
        <f>BD76*BC93/1000000</f>
        <v>0</v>
      </c>
      <c r="BE49" s="1143">
        <f ca="1" t="shared" si="115"/>
        <v>0</v>
      </c>
      <c r="BF49" s="1143">
        <f ca="1" t="shared" si="115"/>
        <v>0</v>
      </c>
      <c r="BG49" s="1144">
        <f ca="1" t="shared" si="115"/>
        <v>0</v>
      </c>
      <c r="BH49" s="1141">
        <f ca="1" t="shared" si="115"/>
        <v>6153.194788405159</v>
      </c>
      <c r="BI49" s="893">
        <f t="shared" si="84"/>
        <v>0</v>
      </c>
      <c r="BJ49" s="894">
        <f ca="1" t="shared" si="85"/>
        <v>11925.619022181108</v>
      </c>
      <c r="BK49" s="917">
        <f ca="1" t="shared" si="116"/>
        <v>0.5158739037940794</v>
      </c>
      <c r="BL49" s="695" t="s">
        <v>94</v>
      </c>
      <c r="BM49" s="712"/>
      <c r="BN49" s="940"/>
    </row>
    <row r="50" spans="1:66" s="580" customFormat="1" ht="15.75" thickBot="1">
      <c r="A50" s="721" t="s">
        <v>132</v>
      </c>
      <c r="B50" s="722">
        <f>PMemission!B57*(B108)</f>
        <v>0</v>
      </c>
      <c r="C50" s="962">
        <f ca="1">PMemission!C57*(C108)</f>
        <v>0.13170653983974567</v>
      </c>
      <c r="D50" s="963">
        <f>PMemission!D57*(D108)</f>
        <v>0</v>
      </c>
      <c r="E50" s="880">
        <f>PMemission!E57*(E108)</f>
        <v>0</v>
      </c>
      <c r="F50" s="1069">
        <f t="shared" si="123"/>
        <v>0</v>
      </c>
      <c r="G50" s="956">
        <f>PMemission!G57*(G108)</f>
        <v>0</v>
      </c>
      <c r="H50" s="956">
        <f>PMemission!H57*(H108)</f>
        <v>0</v>
      </c>
      <c r="I50" s="964">
        <f>PMemission!I57*(I108)</f>
        <v>0</v>
      </c>
      <c r="J50" s="880">
        <f>PMemission!J57*(J108)</f>
        <v>0</v>
      </c>
      <c r="K50" s="865">
        <f>PMemission!K57*(K108)</f>
        <v>0</v>
      </c>
      <c r="L50" s="1329">
        <f ca="1">SUM(B50:K50)</f>
        <v>0.13170653983974567</v>
      </c>
      <c r="M50" s="946"/>
      <c r="N50" s="1283">
        <f>PMemission!N57*(N108)</f>
        <v>0</v>
      </c>
      <c r="O50" s="962">
        <f ca="1">PMemission!O57*(O108)</f>
        <v>0.09645782500147203</v>
      </c>
      <c r="P50" s="963">
        <f>PMemission!P57*(P108)</f>
        <v>0</v>
      </c>
      <c r="Q50" s="1299">
        <f>PMemission!Q57*(Q108)</f>
        <v>0</v>
      </c>
      <c r="R50" s="1300">
        <f t="shared" si="124"/>
        <v>0</v>
      </c>
      <c r="S50" s="956">
        <f>PMemission!S57*(S108)</f>
        <v>0</v>
      </c>
      <c r="T50" s="956">
        <f>PMemission!T57*(T108)</f>
        <v>0</v>
      </c>
      <c r="U50" s="1301">
        <f>PMemission!U57*(U108)</f>
        <v>0</v>
      </c>
      <c r="V50" s="1299">
        <f>PMemission!V57*(V108)</f>
        <v>0</v>
      </c>
      <c r="W50" s="1283">
        <f>PMemission!W57*(W108)</f>
        <v>0</v>
      </c>
      <c r="X50" s="1329">
        <f ca="1">SUM(N50:W50)</f>
        <v>0.09645782500147203</v>
      </c>
      <c r="Y50" s="1287"/>
      <c r="Z50" s="1283">
        <f>PMemission!Z57*(Z108)</f>
        <v>0</v>
      </c>
      <c r="AA50" s="962">
        <f ca="1">PMemission!AA57*(AA108)</f>
        <v>7.902392390384741</v>
      </c>
      <c r="AB50" s="963">
        <f>PMemission!AB57*(AB108)</f>
        <v>0</v>
      </c>
      <c r="AC50" s="1299">
        <f>PMemission!AC57*(AC108)</f>
        <v>0</v>
      </c>
      <c r="AD50" s="1300">
        <f t="shared" si="125"/>
        <v>0</v>
      </c>
      <c r="AE50" s="956">
        <f>PMemission!AE57*(AE108)</f>
        <v>0</v>
      </c>
      <c r="AF50" s="956">
        <f>PMemission!AF57*(AF108)</f>
        <v>0</v>
      </c>
      <c r="AG50" s="1301">
        <f>PMemission!AG57*(AG108)</f>
        <v>0</v>
      </c>
      <c r="AH50" s="1299">
        <f ca="1">PMemission!AH57*(AH108)</f>
        <v>0</v>
      </c>
      <c r="AI50" s="1283">
        <f>PMemission!AI57*(AI108)</f>
        <v>0</v>
      </c>
      <c r="AJ50" s="1334">
        <f ca="1">SUM(Z50:AI50)</f>
        <v>7.902392390384741</v>
      </c>
      <c r="AK50" s="1272"/>
      <c r="AL50" s="1273" t="s">
        <v>132</v>
      </c>
      <c r="AM50" s="888">
        <f t="shared" si="112"/>
        <v>0</v>
      </c>
      <c r="AN50" s="998">
        <f ca="1" t="shared" si="126"/>
        <v>7.852276536173592</v>
      </c>
      <c r="AO50" s="999">
        <f t="shared" si="118"/>
        <v>0</v>
      </c>
      <c r="AP50" s="1302">
        <f t="shared" si="119"/>
        <v>0</v>
      </c>
      <c r="AQ50" s="1303">
        <f t="shared" si="127"/>
        <v>0</v>
      </c>
      <c r="AR50" s="915">
        <f t="shared" si="120"/>
        <v>0</v>
      </c>
      <c r="AS50" s="915">
        <f t="shared" si="121"/>
        <v>0</v>
      </c>
      <c r="AT50" s="1304">
        <f t="shared" si="122"/>
        <v>0</v>
      </c>
      <c r="AU50" s="1030">
        <f ca="1">AU$21*(Mtoe!$AI64/Mtoe!$AI$35)*($AU$102/$AS$102)</f>
        <v>50.66186886564634</v>
      </c>
      <c r="AV50" s="888"/>
      <c r="AW50" s="894">
        <f ca="1">SUM(AM50:AV50)</f>
        <v>58.51414540181993</v>
      </c>
      <c r="AX50" s="890"/>
      <c r="AY50" s="896" t="s">
        <v>132</v>
      </c>
      <c r="AZ50" s="892">
        <f t="shared" si="113"/>
        <v>0</v>
      </c>
      <c r="BA50" s="1152">
        <f ca="1" t="shared" si="114"/>
        <v>422.136605909405</v>
      </c>
      <c r="BB50" s="1153">
        <f ca="1" t="shared" si="114"/>
        <v>0</v>
      </c>
      <c r="BC50" s="1154">
        <f ca="1" t="shared" si="114"/>
        <v>0</v>
      </c>
      <c r="BD50" s="1155">
        <f>BD77*BC94/1000000</f>
        <v>0</v>
      </c>
      <c r="BE50" s="1143">
        <f ca="1" t="shared" si="115"/>
        <v>0</v>
      </c>
      <c r="BF50" s="1143">
        <f ca="1" t="shared" si="115"/>
        <v>0</v>
      </c>
      <c r="BG50" s="1156">
        <f ca="1" t="shared" si="115"/>
        <v>0</v>
      </c>
      <c r="BH50" s="1154">
        <f ca="1" t="shared" si="115"/>
        <v>2723.5705815313527</v>
      </c>
      <c r="BI50" s="893">
        <f t="shared" si="84"/>
        <v>0</v>
      </c>
      <c r="BJ50" s="894">
        <f ca="1" t="shared" si="85"/>
        <v>3145.7071874407575</v>
      </c>
      <c r="BK50" s="917">
        <f ca="1" t="shared" si="116"/>
        <v>0.13607580822092716</v>
      </c>
      <c r="BL50" s="695" t="s">
        <v>94</v>
      </c>
      <c r="BM50" s="712"/>
      <c r="BN50" s="940"/>
    </row>
    <row r="51" spans="1:66" ht="12.75">
      <c r="A51" s="48" t="s">
        <v>40</v>
      </c>
      <c r="B51" s="49">
        <f>PMemission!B58*(B109)</f>
        <v>0</v>
      </c>
      <c r="C51" s="49">
        <f>PMemission!C58*(C109)</f>
        <v>0</v>
      </c>
      <c r="D51" s="49">
        <f>PMemission!D58*(D109)</f>
        <v>0</v>
      </c>
      <c r="E51" s="49">
        <f>PMemission!E58*(E109)</f>
        <v>0</v>
      </c>
      <c r="F51" s="49">
        <f>PMemission!F58*(F109)</f>
        <v>0</v>
      </c>
      <c r="G51" s="49">
        <f>PMemission!G58*(G109)</f>
        <v>0</v>
      </c>
      <c r="H51" s="49">
        <f>PMemission!H58*(H109)</f>
        <v>0</v>
      </c>
      <c r="I51" s="49">
        <f>PMemission!I58*(I109)</f>
        <v>0</v>
      </c>
      <c r="J51" s="49">
        <f>PMemission!J58*(J109)</f>
        <v>0</v>
      </c>
      <c r="K51" s="49">
        <f>PMemission!K58*(K109)</f>
        <v>0</v>
      </c>
      <c r="L51" s="1311">
        <f>SUM(B51:K51)</f>
        <v>0</v>
      </c>
      <c r="M51" s="274"/>
      <c r="N51" s="732">
        <f>PMemission!N58*(N109)</f>
        <v>0</v>
      </c>
      <c r="O51" s="732">
        <f>PMemission!O58*(O109)</f>
        <v>0</v>
      </c>
      <c r="P51" s="732">
        <f>PMemission!P58*(P109)</f>
        <v>0</v>
      </c>
      <c r="Q51" s="732">
        <f>PMemission!Q58*(Q109)</f>
        <v>0</v>
      </c>
      <c r="R51" s="732">
        <f>PMemission!R58*(R109)</f>
        <v>0</v>
      </c>
      <c r="S51" s="732">
        <f>PMemission!S58*(S109)</f>
        <v>0</v>
      </c>
      <c r="T51" s="732">
        <f>PMemission!T58*(T109)</f>
        <v>0</v>
      </c>
      <c r="U51" s="732">
        <f>PMemission!U58*(U109)</f>
        <v>0</v>
      </c>
      <c r="V51" s="732">
        <f>PMemission!V58*(V109)</f>
        <v>0</v>
      </c>
      <c r="W51" s="732">
        <f>PMemission!W58*(W109)</f>
        <v>0</v>
      </c>
      <c r="X51" s="1311">
        <f>SUM(N51:W51)</f>
        <v>0</v>
      </c>
      <c r="Y51" s="734"/>
      <c r="Z51" s="732">
        <f>PMemission!Z58*(Z109)</f>
        <v>0</v>
      </c>
      <c r="AA51" s="732">
        <f>PMemission!AA58*(AA109)</f>
        <v>0</v>
      </c>
      <c r="AB51" s="732">
        <f>PMemission!AB58*(AB109)</f>
        <v>0</v>
      </c>
      <c r="AC51" s="732">
        <f>PMemission!AC58*(AC109)</f>
        <v>0.10450000000000001</v>
      </c>
      <c r="AD51" s="732">
        <f>PMemission!AD58*(AD109)</f>
        <v>0</v>
      </c>
      <c r="AE51" s="732">
        <f>PMemission!AE58*(AE109)</f>
        <v>0</v>
      </c>
      <c r="AF51" s="732">
        <f>PMemission!AF58*(AF109)</f>
        <v>0</v>
      </c>
      <c r="AG51" s="732">
        <f>PMemission!AG58*(AG109)</f>
        <v>0</v>
      </c>
      <c r="AH51" s="732">
        <f>PMemission!AH58*(AH109)</f>
        <v>0</v>
      </c>
      <c r="AI51" s="732">
        <f>PMemission!AI58*(AI109)</f>
        <v>0</v>
      </c>
      <c r="AJ51" s="1309">
        <f>SUM(Z51:AI51)</f>
        <v>0.10450000000000001</v>
      </c>
      <c r="AK51" s="663"/>
      <c r="AL51" s="1262" t="s">
        <v>40</v>
      </c>
      <c r="AM51" s="154">
        <f t="shared" si="112"/>
        <v>0</v>
      </c>
      <c r="AN51" s="154">
        <f t="shared" si="117"/>
        <v>0</v>
      </c>
      <c r="AO51" s="154">
        <f aca="true" t="shared" si="128" ref="AO51:AO53">(D51+P51+AB51)*$AU$102/$AS$102</f>
        <v>0</v>
      </c>
      <c r="AP51" s="154">
        <f aca="true" t="shared" si="129" ref="AP51:AP53">(E51+Q51+AC51)*$AU$102/$AS$102</f>
        <v>0.10092333437100962</v>
      </c>
      <c r="AQ51" s="154">
        <f aca="true" t="shared" si="130" ref="AQ51:AQ53">(F51+R51+AD51)*$AU$102/$AS$102</f>
        <v>0</v>
      </c>
      <c r="AR51" s="154">
        <f aca="true" t="shared" si="131" ref="AR51:AR53">(G51+S51+AE51)*$AU$102/$AS$102</f>
        <v>0</v>
      </c>
      <c r="AS51" s="154">
        <f aca="true" t="shared" si="132" ref="AS51:AS53">(H51+T51+AF51)*$AU$102/$AS$102</f>
        <v>0</v>
      </c>
      <c r="AT51" s="154">
        <f aca="true" t="shared" si="133" ref="AT51:AT53">(I51+U51+AG51)*$AU$102/$AS$102</f>
        <v>0</v>
      </c>
      <c r="AU51" s="154">
        <f aca="true" t="shared" si="134" ref="AU51:AU53">(J51+V51+AH51)*$AU$102/$AS$102</f>
        <v>0</v>
      </c>
      <c r="AV51" s="154">
        <f ca="1">AV$21*(Mtoe!$AJ65/Mtoe!$AJ$35)</f>
        <v>0</v>
      </c>
      <c r="AW51" s="117">
        <f ca="1">SUM(AM51:AV51)</f>
        <v>0.10092333437100962</v>
      </c>
      <c r="AX51" s="26"/>
      <c r="AY51" s="148" t="s">
        <v>40</v>
      </c>
      <c r="AZ51" s="151">
        <f t="shared" si="113"/>
        <v>0</v>
      </c>
      <c r="BA51" s="116">
        <f ca="1" t="shared" si="114"/>
        <v>0</v>
      </c>
      <c r="BB51" s="116">
        <f ca="1" t="shared" si="114"/>
        <v>0</v>
      </c>
      <c r="BC51" s="116">
        <f ca="1" t="shared" si="114"/>
        <v>5.425615569214099</v>
      </c>
      <c r="BD51" s="116">
        <f ca="1">1000*AQ51*$BD$89</f>
        <v>0</v>
      </c>
      <c r="BE51" s="116">
        <f ca="1" t="shared" si="115"/>
        <v>0</v>
      </c>
      <c r="BF51" s="116">
        <f ca="1" t="shared" si="115"/>
        <v>0</v>
      </c>
      <c r="BG51" s="116">
        <f ca="1" t="shared" si="115"/>
        <v>0</v>
      </c>
      <c r="BH51" s="116">
        <f ca="1" t="shared" si="115"/>
        <v>0</v>
      </c>
      <c r="BI51" s="116">
        <f ca="1" t="shared" si="84"/>
        <v>0</v>
      </c>
      <c r="BJ51" s="117">
        <f ca="1" t="shared" si="85"/>
        <v>5.425615569214099</v>
      </c>
      <c r="BK51" s="4">
        <f ca="1" t="shared" si="116"/>
        <v>0.00023469922013863803</v>
      </c>
      <c r="BL51" s="4" t="s">
        <v>94</v>
      </c>
      <c r="BM51" s="142"/>
      <c r="BN51" s="91"/>
    </row>
    <row r="52" spans="1:66" ht="12.75">
      <c r="A52" s="112" t="s">
        <v>99</v>
      </c>
      <c r="B52" s="49">
        <f>PMemission!B59*(B110)</f>
        <v>0</v>
      </c>
      <c r="C52" s="49">
        <f>PMemission!C59*(C110)</f>
        <v>0</v>
      </c>
      <c r="D52" s="49">
        <f>PMemission!D59*(D110)</f>
        <v>1.4287999999999998</v>
      </c>
      <c r="E52" s="49">
        <f>PMemission!E59*(E110)</f>
        <v>0</v>
      </c>
      <c r="F52" s="49">
        <f>PMemission!F59*(F110)</f>
        <v>0</v>
      </c>
      <c r="G52" s="49">
        <f>PMemission!G59*(G110)</f>
        <v>0</v>
      </c>
      <c r="H52" s="49">
        <f>PMemission!H59*(H110)</f>
        <v>0</v>
      </c>
      <c r="I52" s="49">
        <f>PMemission!I59*(I110)</f>
        <v>0</v>
      </c>
      <c r="J52" s="49">
        <f>PMemission!J59*(J110)</f>
        <v>0</v>
      </c>
      <c r="K52" s="49">
        <f>PMemission!K59*(K110)</f>
        <v>0</v>
      </c>
      <c r="L52" s="1309">
        <f>SUM(B52:K52)</f>
        <v>1.4287999999999998</v>
      </c>
      <c r="M52" s="274"/>
      <c r="N52" s="732">
        <f>PMemission!N59*(N110)</f>
        <v>0</v>
      </c>
      <c r="O52" s="732">
        <f>PMemission!O59*(O110)</f>
        <v>0</v>
      </c>
      <c r="P52" s="732">
        <f>PMemission!P59*(P110)</f>
        <v>54.379</v>
      </c>
      <c r="Q52" s="732">
        <f>PMemission!Q59*(Q110)</f>
        <v>0</v>
      </c>
      <c r="R52" s="732">
        <f>PMemission!R59*(R110)</f>
        <v>0</v>
      </c>
      <c r="S52" s="732">
        <f>PMemission!S59*(S110)</f>
        <v>0</v>
      </c>
      <c r="T52" s="732">
        <f>PMemission!T59*(T110)</f>
        <v>0</v>
      </c>
      <c r="U52" s="732">
        <f>PMemission!U59*(U110)</f>
        <v>0</v>
      </c>
      <c r="V52" s="732">
        <f>PMemission!V59*(V110)</f>
        <v>0</v>
      </c>
      <c r="W52" s="732">
        <f>PMemission!W59*(W110)</f>
        <v>0</v>
      </c>
      <c r="X52" s="1309">
        <f>SUM(N52:W52)</f>
        <v>54.379</v>
      </c>
      <c r="Y52" s="734"/>
      <c r="Z52" s="732">
        <f>PMemission!Z59*(Z110)</f>
        <v>0</v>
      </c>
      <c r="AA52" s="732">
        <f>PMemission!AA59*(AA110)</f>
        <v>0</v>
      </c>
      <c r="AB52" s="732">
        <f>PMemission!AB59*(AB110)</f>
        <v>85.728</v>
      </c>
      <c r="AC52" s="732">
        <f>PMemission!AC59*(AC110)</f>
        <v>0</v>
      </c>
      <c r="AD52" s="732">
        <f>PMemission!AD59*(AD110)</f>
        <v>0</v>
      </c>
      <c r="AE52" s="732">
        <f>PMemission!AE59*(AE110)</f>
        <v>0</v>
      </c>
      <c r="AF52" s="732">
        <f>PMemission!AF59*(AF110)</f>
        <v>0</v>
      </c>
      <c r="AG52" s="732">
        <f>PMemission!AG59*(AG110)</f>
        <v>0</v>
      </c>
      <c r="AH52" s="732">
        <f>PMemission!AH59*(AH110)</f>
        <v>0</v>
      </c>
      <c r="AI52" s="732">
        <f>PMemission!AI59*(AI110)</f>
        <v>0</v>
      </c>
      <c r="AJ52" s="1309">
        <f>SUM(Z52:AI52)</f>
        <v>85.728</v>
      </c>
      <c r="AK52" s="663"/>
      <c r="AL52" s="1262" t="s">
        <v>41</v>
      </c>
      <c r="AM52" s="154">
        <f t="shared" si="112"/>
        <v>0</v>
      </c>
      <c r="AN52" s="154">
        <f t="shared" si="117"/>
        <v>0</v>
      </c>
      <c r="AO52" s="156">
        <f ca="1" t="shared" si="128"/>
        <v>136.69152984563007</v>
      </c>
      <c r="AP52" s="156">
        <f ca="1" t="shared" si="129"/>
        <v>0</v>
      </c>
      <c r="AQ52" s="156">
        <f ca="1" t="shared" si="130"/>
        <v>0</v>
      </c>
      <c r="AR52" s="156">
        <f ca="1" t="shared" si="131"/>
        <v>0</v>
      </c>
      <c r="AS52" s="156">
        <f ca="1" t="shared" si="132"/>
        <v>0</v>
      </c>
      <c r="AT52" s="156">
        <f ca="1" t="shared" si="133"/>
        <v>0</v>
      </c>
      <c r="AU52" s="156">
        <f ca="1" t="shared" si="134"/>
        <v>0</v>
      </c>
      <c r="AV52" s="154">
        <f ca="1">AV$21*(Mtoe!$AJ66/Mtoe!$AJ$35)</f>
        <v>0</v>
      </c>
      <c r="AW52" s="117">
        <f ca="1">SUM(AM52:AV52)</f>
        <v>136.69152984563007</v>
      </c>
      <c r="AX52" s="26"/>
      <c r="AY52" s="148" t="s">
        <v>41</v>
      </c>
      <c r="AZ52" s="151">
        <f t="shared" si="113"/>
        <v>0</v>
      </c>
      <c r="BA52" s="116">
        <f ca="1" t="shared" si="114"/>
        <v>0</v>
      </c>
      <c r="BB52" s="116">
        <f ca="1" t="shared" si="114"/>
        <v>7348.505646709788</v>
      </c>
      <c r="BC52" s="116">
        <f ca="1" t="shared" si="114"/>
        <v>0</v>
      </c>
      <c r="BD52" s="116">
        <f ca="1">1000*AQ52*$BD$89</f>
        <v>0</v>
      </c>
      <c r="BE52" s="116">
        <f ca="1" t="shared" si="115"/>
        <v>0</v>
      </c>
      <c r="BF52" s="116">
        <f ca="1" t="shared" si="115"/>
        <v>0</v>
      </c>
      <c r="BG52" s="116">
        <f ca="1" t="shared" si="115"/>
        <v>0</v>
      </c>
      <c r="BH52" s="116">
        <f ca="1" t="shared" si="115"/>
        <v>0</v>
      </c>
      <c r="BI52" s="116">
        <f ca="1" t="shared" si="84"/>
        <v>0</v>
      </c>
      <c r="BJ52" s="117">
        <f ca="1" t="shared" si="85"/>
        <v>7348.505646709788</v>
      </c>
      <c r="BK52" s="4">
        <f ca="1" t="shared" si="116"/>
        <v>0.3178788696813229</v>
      </c>
      <c r="BL52" s="4" t="s">
        <v>94</v>
      </c>
      <c r="BM52" s="142"/>
      <c r="BN52" s="91"/>
    </row>
    <row r="53" spans="1:66" ht="13.5" thickBot="1">
      <c r="A53" s="57" t="s">
        <v>35</v>
      </c>
      <c r="B53" s="271">
        <f>PMemission!B60*(B111)</f>
        <v>0</v>
      </c>
      <c r="C53" s="272">
        <f>PMemission!C60*(C111)</f>
        <v>0</v>
      </c>
      <c r="D53" s="272">
        <f>PMemission!D60*(D111)</f>
        <v>0.075</v>
      </c>
      <c r="E53" s="272">
        <f>PMemission!E60*(E111)</f>
        <v>0</v>
      </c>
      <c r="F53" s="272">
        <f>PMemission!F60*(F111)</f>
        <v>0</v>
      </c>
      <c r="G53" s="272">
        <f>PMemission!G60*(G111)</f>
        <v>0</v>
      </c>
      <c r="H53" s="272">
        <f>PMemission!H60*(H111)</f>
        <v>0</v>
      </c>
      <c r="I53" s="272">
        <f>PMemission!I60*(I111)</f>
        <v>0</v>
      </c>
      <c r="J53" s="272">
        <f>PMemission!J60*(J111)</f>
        <v>0</v>
      </c>
      <c r="K53" s="270">
        <f>PMemission!K60*(K111)</f>
        <v>0</v>
      </c>
      <c r="L53" s="1326">
        <f>SUM(B53:K53)</f>
        <v>0.075</v>
      </c>
      <c r="M53" s="275"/>
      <c r="N53" s="1305">
        <f>PMemission!N65*(N111)</f>
        <v>0</v>
      </c>
      <c r="O53" s="1306">
        <f>PMemission!O65*(O111)</f>
        <v>0</v>
      </c>
      <c r="P53" s="1306">
        <f>PMemission!P65*(P111)</f>
        <v>0</v>
      </c>
      <c r="Q53" s="1306">
        <f>PMemission!Q65*(Q111)</f>
        <v>0</v>
      </c>
      <c r="R53" s="736">
        <f>PMemission!R65*(R111)</f>
        <v>0</v>
      </c>
      <c r="S53" s="736">
        <f>PMemission!S65*(S111)</f>
        <v>0</v>
      </c>
      <c r="T53" s="736">
        <f>PMemission!T65*(T111)</f>
        <v>0</v>
      </c>
      <c r="U53" s="736">
        <f>PMemission!U65*(U111)</f>
        <v>0</v>
      </c>
      <c r="V53" s="736">
        <f>PMemission!V65*(V111)</f>
        <v>0</v>
      </c>
      <c r="W53" s="1264">
        <f>PMemission!W65*(W111)</f>
        <v>0</v>
      </c>
      <c r="X53" s="1326">
        <f>SUM(N53:W53)</f>
        <v>0</v>
      </c>
      <c r="Y53" s="734"/>
      <c r="Z53" s="736">
        <f>PMemission!Z60*(Z111)</f>
        <v>0</v>
      </c>
      <c r="AA53" s="736">
        <f>PMemission!AA60*(AA111)</f>
        <v>0</v>
      </c>
      <c r="AB53" s="736">
        <f>PMemission!AB60*(AB111)</f>
        <v>3</v>
      </c>
      <c r="AC53" s="736">
        <f>PMemission!AC60*(AC111)</f>
        <v>0.0425</v>
      </c>
      <c r="AD53" s="736">
        <f>PMemission!AD60*(AD111)</f>
        <v>0</v>
      </c>
      <c r="AE53" s="736">
        <f>PMemission!AE60*(AE111)</f>
        <v>0</v>
      </c>
      <c r="AF53" s="736">
        <f>PMemission!AF60*(AF111)</f>
        <v>0</v>
      </c>
      <c r="AG53" s="736">
        <f>PMemission!AG60*(AG111)</f>
        <v>0</v>
      </c>
      <c r="AH53" s="736">
        <f>PMemission!AH60*(AH111)</f>
        <v>0</v>
      </c>
      <c r="AI53" s="736">
        <f>PMemission!AI60*(AI111)</f>
        <v>0</v>
      </c>
      <c r="AJ53" s="1332">
        <f>SUM(Z53:AI53)</f>
        <v>3.0425</v>
      </c>
      <c r="AK53" s="663"/>
      <c r="AL53" s="1265" t="s">
        <v>35</v>
      </c>
      <c r="AM53" s="161">
        <f t="shared" si="112"/>
        <v>0</v>
      </c>
      <c r="AN53" s="161">
        <f t="shared" si="117"/>
        <v>0</v>
      </c>
      <c r="AO53" s="161">
        <f ca="1" t="shared" si="128"/>
        <v>2.96975361905124</v>
      </c>
      <c r="AP53" s="161">
        <f ca="1" t="shared" si="129"/>
        <v>0.041045375222659414</v>
      </c>
      <c r="AQ53" s="161">
        <f ca="1" t="shared" si="130"/>
        <v>0</v>
      </c>
      <c r="AR53" s="161">
        <f ca="1" t="shared" si="131"/>
        <v>0</v>
      </c>
      <c r="AS53" s="161">
        <f ca="1" t="shared" si="132"/>
        <v>0</v>
      </c>
      <c r="AT53" s="161">
        <f ca="1" t="shared" si="133"/>
        <v>0</v>
      </c>
      <c r="AU53" s="161">
        <f ca="1" t="shared" si="134"/>
        <v>0</v>
      </c>
      <c r="AV53" s="161">
        <f ca="1">AV$21*(Mtoe!$AJ67/Mtoe!$AJ$35)</f>
        <v>0</v>
      </c>
      <c r="AW53" s="122">
        <f ca="1">SUM(AM53:AV53)</f>
        <v>3.0107989942738995</v>
      </c>
      <c r="AX53" s="26"/>
      <c r="AY53" s="150" t="s">
        <v>35</v>
      </c>
      <c r="AZ53" s="120">
        <f t="shared" si="113"/>
        <v>0</v>
      </c>
      <c r="BA53" s="121">
        <f ca="1" t="shared" si="114"/>
        <v>0</v>
      </c>
      <c r="BB53" s="121">
        <f ca="1" t="shared" si="114"/>
        <v>159.65328110366846</v>
      </c>
      <c r="BC53" s="121">
        <f ca="1" t="shared" si="114"/>
        <v>2.206590064034442</v>
      </c>
      <c r="BD53" s="121">
        <f ca="1">1000*AQ53*$BD$89</f>
        <v>0</v>
      </c>
      <c r="BE53" s="121">
        <f ca="1" t="shared" si="115"/>
        <v>0</v>
      </c>
      <c r="BF53" s="121">
        <f ca="1" t="shared" si="115"/>
        <v>0</v>
      </c>
      <c r="BG53" s="121">
        <f ca="1" t="shared" si="115"/>
        <v>0</v>
      </c>
      <c r="BH53" s="121">
        <f ca="1" t="shared" si="115"/>
        <v>0</v>
      </c>
      <c r="BI53" s="121">
        <f ca="1" t="shared" si="84"/>
        <v>0</v>
      </c>
      <c r="BJ53" s="122">
        <f ca="1" t="shared" si="85"/>
        <v>161.8598711677029</v>
      </c>
      <c r="BK53" s="145">
        <f ca="1" t="shared" si="116"/>
        <v>0.0070016729070067375</v>
      </c>
      <c r="BL53" s="144" t="s">
        <v>94</v>
      </c>
      <c r="BM53" s="142"/>
      <c r="BN53" s="91"/>
    </row>
    <row r="54" spans="1:66" s="66" customFormat="1" ht="12.75">
      <c r="A54" s="55" t="s">
        <v>42</v>
      </c>
      <c r="B54" s="1309"/>
      <c r="C54" s="1309"/>
      <c r="D54" s="1309"/>
      <c r="E54" s="1309"/>
      <c r="F54" s="1309"/>
      <c r="G54" s="1309"/>
      <c r="H54" s="1309"/>
      <c r="I54" s="1309"/>
      <c r="J54" s="1309"/>
      <c r="K54" s="1310"/>
      <c r="L54" s="1311">
        <f>SUM(L55:L61)</f>
        <v>2856.6081691964287</v>
      </c>
      <c r="M54" s="1312"/>
      <c r="N54" s="1309"/>
      <c r="O54" s="1309"/>
      <c r="P54" s="1309"/>
      <c r="Q54" s="1309"/>
      <c r="R54" s="1309"/>
      <c r="S54" s="1309"/>
      <c r="T54" s="1309"/>
      <c r="U54" s="1309"/>
      <c r="V54" s="1309"/>
      <c r="W54" s="1310"/>
      <c r="X54" s="1311">
        <f>SUM(X55:X61)</f>
        <v>1909.313262695313</v>
      </c>
      <c r="Y54" s="1312"/>
      <c r="Z54" s="1309"/>
      <c r="AA54" s="1309"/>
      <c r="AB54" s="1309"/>
      <c r="AC54" s="1309"/>
      <c r="AD54" s="1309"/>
      <c r="AE54" s="1309"/>
      <c r="AF54" s="1309"/>
      <c r="AG54" s="1309"/>
      <c r="AH54" s="1309"/>
      <c r="AI54" s="1309"/>
      <c r="AJ54" s="1309">
        <f>SUM(AJ55:AJ61)</f>
        <v>4420.9805</v>
      </c>
      <c r="AK54" s="1313"/>
      <c r="AL54" s="117" t="s">
        <v>42</v>
      </c>
      <c r="AM54" s="119">
        <f aca="true" t="shared" si="135" ref="AM54:AW54">SUM(AM55:AM61)</f>
        <v>4253.261181116196</v>
      </c>
      <c r="AN54" s="119">
        <f ca="1" t="shared" si="135"/>
        <v>0</v>
      </c>
      <c r="AO54" s="119">
        <f ca="1" t="shared" si="135"/>
        <v>1589.0020815455798</v>
      </c>
      <c r="AP54" s="119">
        <f ca="1" t="shared" si="135"/>
        <v>275.63756143054906</v>
      </c>
      <c r="AQ54" s="119">
        <f ca="1" t="shared" si="135"/>
        <v>0</v>
      </c>
      <c r="AR54" s="119">
        <f ca="1" t="shared" si="135"/>
        <v>0</v>
      </c>
      <c r="AS54" s="119">
        <f ca="1" t="shared" si="135"/>
        <v>0</v>
      </c>
      <c r="AT54" s="119">
        <f ca="1" t="shared" si="135"/>
        <v>2754.565927161114</v>
      </c>
      <c r="AU54" s="119">
        <f ca="1" t="shared" si="135"/>
        <v>5833.763090087074</v>
      </c>
      <c r="AV54" s="119">
        <f ca="1" t="shared" si="135"/>
        <v>1271.4263734148717</v>
      </c>
      <c r="AW54" s="117">
        <f ca="1" t="shared" si="135"/>
        <v>15977.656214755383</v>
      </c>
      <c r="AX54" s="758"/>
      <c r="AY54" s="80" t="s">
        <v>42</v>
      </c>
      <c r="AZ54" s="119">
        <f aca="true" t="shared" si="136" ref="AZ54:BI54">SUM(AZ55:AZ61)</f>
        <v>228654.3565768945</v>
      </c>
      <c r="BA54" s="119">
        <f ca="1" t="shared" si="136"/>
        <v>0</v>
      </c>
      <c r="BB54" s="119">
        <f ca="1" t="shared" si="136"/>
        <v>85424.39156294655</v>
      </c>
      <c r="BC54" s="119">
        <f ca="1" t="shared" si="136"/>
        <v>14818.212795666212</v>
      </c>
      <c r="BD54" s="119">
        <f ca="1" t="shared" si="136"/>
        <v>0</v>
      </c>
      <c r="BE54" s="119">
        <f ca="1" t="shared" si="136"/>
        <v>0</v>
      </c>
      <c r="BF54" s="119">
        <f ca="1" t="shared" si="136"/>
        <v>0</v>
      </c>
      <c r="BG54" s="119">
        <f ca="1" t="shared" si="136"/>
        <v>148084.83958616655</v>
      </c>
      <c r="BH54" s="119">
        <f ca="1" t="shared" si="136"/>
        <v>313621.7807898249</v>
      </c>
      <c r="BI54" s="119">
        <f ca="1" t="shared" si="136"/>
        <v>68351.59351107097</v>
      </c>
      <c r="BJ54" s="117">
        <f ca="1" t="shared" si="85"/>
        <v>858955.1748225696</v>
      </c>
      <c r="BK54" s="11">
        <f ca="1">SUM(BK55:BK61)</f>
        <v>37.15635711619462</v>
      </c>
      <c r="BL54" s="11" t="s">
        <v>94</v>
      </c>
      <c r="BM54" s="831"/>
      <c r="BN54" s="941"/>
    </row>
    <row r="55" spans="1:66" ht="12.75">
      <c r="A55" s="48" t="s">
        <v>43</v>
      </c>
      <c r="B55" s="729">
        <f>PMemission!B62*(B113)</f>
        <v>1758.7377929687502</v>
      </c>
      <c r="C55" s="729">
        <f>PMemission!C62*(C113)</f>
        <v>0</v>
      </c>
      <c r="D55" s="729">
        <f>PMemission!D62*(D113)</f>
        <v>58.675</v>
      </c>
      <c r="E55" s="729">
        <f>PMemission!E62*(E113)</f>
        <v>0</v>
      </c>
      <c r="F55" s="729">
        <f>PMemission!F62*(F113)</f>
        <v>0</v>
      </c>
      <c r="G55" s="729">
        <f>PMemission!G62*(G113)</f>
        <v>0</v>
      </c>
      <c r="H55" s="729">
        <f>PMemission!H62*(H113)</f>
        <v>0</v>
      </c>
      <c r="I55" s="729">
        <f>PMemission!I62*(I113)</f>
        <v>642.5044642857143</v>
      </c>
      <c r="J55" s="729">
        <f>PMemission!J62*(J113)</f>
        <v>0</v>
      </c>
      <c r="K55" s="730">
        <f>PMemission!K62*(K113)</f>
        <v>0</v>
      </c>
      <c r="L55" s="1311">
        <f>SUM(B55:K55)</f>
        <v>2459.9172572544644</v>
      </c>
      <c r="M55" s="731"/>
      <c r="N55" s="729">
        <f>PMemission!N62*(N113)</f>
        <v>1017.4298132324221</v>
      </c>
      <c r="O55" s="729">
        <f>PMemission!O62*(O113)</f>
        <v>0</v>
      </c>
      <c r="P55" s="729">
        <f>PMemission!P62*(P113)</f>
        <v>339.434875</v>
      </c>
      <c r="Q55" s="729">
        <f>PMemission!Q62*(Q113)</f>
        <v>0</v>
      </c>
      <c r="R55" s="732">
        <f>PMemission!R62*(R113)</f>
        <v>0</v>
      </c>
      <c r="S55" s="732">
        <f>PMemission!S62*(S113)</f>
        <v>0</v>
      </c>
      <c r="T55" s="732">
        <f>PMemission!T62*(T113)</f>
        <v>0</v>
      </c>
      <c r="U55" s="732">
        <f>PMemission!U62*(U113)</f>
        <v>0</v>
      </c>
      <c r="V55" s="732">
        <f>PMemission!V62*(V113)</f>
        <v>0</v>
      </c>
      <c r="W55" s="733">
        <f>PMemission!W62*(W113)</f>
        <v>0</v>
      </c>
      <c r="X55" s="1311">
        <f>SUM(N55:W55)</f>
        <v>1356.8646882324222</v>
      </c>
      <c r="Y55" s="734"/>
      <c r="Z55" s="729">
        <f>PMemission!Z62*(Z113)</f>
        <v>951.8750000000001</v>
      </c>
      <c r="AA55" s="729">
        <f>PMemission!AA62*(AA113)</f>
        <v>0</v>
      </c>
      <c r="AB55" s="729">
        <f>PMemission!AB62*(AB113)</f>
        <v>586.75</v>
      </c>
      <c r="AC55" s="732">
        <f>PMemission!AC62*(AC113)</f>
        <v>222.14999999999998</v>
      </c>
      <c r="AD55" s="732">
        <f>PMemission!AD62*(AD113)</f>
        <v>0</v>
      </c>
      <c r="AE55" s="732">
        <f>PMemission!AE62*(AE113)</f>
        <v>0</v>
      </c>
      <c r="AF55" s="732">
        <f>PMemission!AF62*(AF113)</f>
        <v>0</v>
      </c>
      <c r="AG55" s="732">
        <f>PMemission!AG62*(AG113)</f>
        <v>2091.875</v>
      </c>
      <c r="AH55" s="732">
        <f>PMemission!AH62*(AH113)</f>
        <v>0</v>
      </c>
      <c r="AI55" s="732">
        <f>PMemission!AI62*(AI113)</f>
        <v>0</v>
      </c>
      <c r="AJ55" s="1309">
        <f>SUM(Z55:AI55)</f>
        <v>3852.65</v>
      </c>
      <c r="AK55" s="663"/>
      <c r="AL55" s="1262" t="s">
        <v>43</v>
      </c>
      <c r="AM55" s="156">
        <f aca="true" t="shared" si="137" ref="AM55:AM61">(B55+N55+Z55)*$AU$102/$AS$102</f>
        <v>3600.4448851197226</v>
      </c>
      <c r="AN55" s="156">
        <f aca="true" t="shared" si="138" ref="AN55:AN61">(C55+O55+AA55)*$AU$102/$AS$102</f>
        <v>0</v>
      </c>
      <c r="AO55" s="156">
        <f aca="true" t="shared" si="139" ref="AO55:AO61">(D55+P55+AB55)*$AU$102/$AS$102</f>
        <v>951.1516026145046</v>
      </c>
      <c r="AP55" s="156">
        <f aca="true" t="shared" si="140" ref="AP55:AP61">(E55+Q55+AC55)*$AU$102/$AS$102</f>
        <v>214.54659072267737</v>
      </c>
      <c r="AQ55" s="156">
        <f aca="true" t="shared" si="141" ref="AQ55:AQ61">(F55+R55+AD55)*$AU$102/$AS$102</f>
        <v>0</v>
      </c>
      <c r="AR55" s="156">
        <f aca="true" t="shared" si="142" ref="AR55:AR61">(G55+S55+AE55)*$AU$102/$AS$102</f>
        <v>0</v>
      </c>
      <c r="AS55" s="156">
        <f aca="true" t="shared" si="143" ref="AS55:AS61">(H55+T55+AF55)*$AU$102/$AS$102</f>
        <v>0</v>
      </c>
      <c r="AT55" s="156">
        <f aca="true" t="shared" si="144" ref="AT55:AT61">(I55+U55+AG55)*$AU$102/$AS$102</f>
        <v>2640.7913202998016</v>
      </c>
      <c r="AU55" s="154">
        <f ca="1">AU$21*(Mtoe!$AI69/Mtoe!$AI$35)</f>
        <v>2927.240458001333</v>
      </c>
      <c r="AV55" s="154">
        <f ca="1">AV$21*(Mtoe!$AJ69/Mtoe!$AJ$35)</f>
        <v>726.3563181242788</v>
      </c>
      <c r="AW55" s="117">
        <f ca="1">SUM(AM55:AV55)</f>
        <v>11060.531174882317</v>
      </c>
      <c r="AX55" s="26"/>
      <c r="AY55" s="78" t="s">
        <v>43</v>
      </c>
      <c r="AZ55" s="116">
        <f aca="true" t="shared" si="145" ref="AZ55:BI61">1000*AM55*$BD$89</f>
        <v>193559.10054448407</v>
      </c>
      <c r="BA55" s="116">
        <f ca="1" t="shared" si="145"/>
        <v>0</v>
      </c>
      <c r="BB55" s="116">
        <f ca="1" t="shared" si="145"/>
        <v>51133.69446214593</v>
      </c>
      <c r="BC55" s="116">
        <f ca="1" t="shared" si="145"/>
        <v>11533.976064123559</v>
      </c>
      <c r="BD55" s="116">
        <f ca="1" t="shared" si="145"/>
        <v>0</v>
      </c>
      <c r="BE55" s="116">
        <f ca="1" t="shared" si="145"/>
        <v>0</v>
      </c>
      <c r="BF55" s="116">
        <f ca="1" t="shared" si="145"/>
        <v>0</v>
      </c>
      <c r="BG55" s="116">
        <f ca="1" t="shared" si="145"/>
        <v>141968.34252218064</v>
      </c>
      <c r="BH55" s="116">
        <f ca="1" t="shared" si="145"/>
        <v>157367.7832064137</v>
      </c>
      <c r="BI55" s="116">
        <f ca="1" t="shared" si="145"/>
        <v>39048.75094519424</v>
      </c>
      <c r="BJ55" s="117">
        <f ca="1" t="shared" si="85"/>
        <v>594611.6477445422</v>
      </c>
      <c r="BK55" s="4">
        <f aca="true" t="shared" si="146" ref="BK55:BK61">100*BJ55/BJ$6</f>
        <v>25.721485097995828</v>
      </c>
      <c r="BL55" s="4" t="s">
        <v>94</v>
      </c>
      <c r="BM55" s="142"/>
      <c r="BN55" s="91"/>
    </row>
    <row r="56" spans="1:66" ht="12.75">
      <c r="A56" s="227" t="s">
        <v>137</v>
      </c>
      <c r="B56" s="732">
        <f>PMemission!B63*(B114)</f>
        <v>286.38671875000006</v>
      </c>
      <c r="C56" s="732">
        <f>PMemission!C63*(C114)</f>
        <v>0</v>
      </c>
      <c r="D56" s="732">
        <f>PMemission!D63*(D114)</f>
        <v>26</v>
      </c>
      <c r="E56" s="732">
        <f>PMemission!E63*(E114)</f>
        <v>0</v>
      </c>
      <c r="F56" s="732">
        <f>PMemission!F63*(F114)</f>
        <v>0</v>
      </c>
      <c r="G56" s="732">
        <f>PMemission!G63*(G114)</f>
        <v>0</v>
      </c>
      <c r="H56" s="732">
        <f>PMemission!H63*(H114)</f>
        <v>0</v>
      </c>
      <c r="I56" s="732">
        <f>PMemission!I63*(I114)</f>
        <v>36.28125</v>
      </c>
      <c r="J56" s="732">
        <f>PMemission!J63*(J114)</f>
        <v>0</v>
      </c>
      <c r="K56" s="733">
        <f>PMemission!K63*(K114)</f>
        <v>0</v>
      </c>
      <c r="L56" s="1311">
        <f>SUM(B56:K56)</f>
        <v>348.66796875000006</v>
      </c>
      <c r="M56" s="734"/>
      <c r="N56" s="732">
        <f>PMemission!N63*(N114)</f>
        <v>165.67471679687506</v>
      </c>
      <c r="O56" s="732">
        <f>PMemission!O63*(O114)</f>
        <v>0</v>
      </c>
      <c r="P56" s="732">
        <f>PMemission!P63*(P114)</f>
        <v>150.41</v>
      </c>
      <c r="Q56" s="732">
        <f>PMemission!Q63*(Q114)</f>
        <v>0</v>
      </c>
      <c r="R56" s="732">
        <f>PMemission!R63*(R114)</f>
        <v>0</v>
      </c>
      <c r="S56" s="732">
        <f>PMemission!S63*(S114)</f>
        <v>0</v>
      </c>
      <c r="T56" s="732">
        <f>PMemission!T63*(T114)</f>
        <v>0</v>
      </c>
      <c r="U56" s="732">
        <f>PMemission!U63*(U114)</f>
        <v>0</v>
      </c>
      <c r="V56" s="732">
        <f>PMemission!V63*(V114)</f>
        <v>0</v>
      </c>
      <c r="W56" s="733">
        <f>PMemission!W63*(W114)</f>
        <v>0</v>
      </c>
      <c r="X56" s="1311">
        <f>SUM(N56:W56)</f>
        <v>316.08471679687506</v>
      </c>
      <c r="Y56" s="734"/>
      <c r="Z56" s="732">
        <f>PMemission!Z63*(Z114)</f>
        <v>77.5</v>
      </c>
      <c r="AA56" s="732">
        <f>PMemission!AA63*(AA114)</f>
        <v>0</v>
      </c>
      <c r="AB56" s="732">
        <f>PMemission!AB63*(AB114)</f>
        <v>260</v>
      </c>
      <c r="AC56" s="732">
        <f>PMemission!AC63*(AC114)</f>
        <v>54.362500000000004</v>
      </c>
      <c r="AD56" s="732">
        <f>PMemission!AD63*(AD114)</f>
        <v>0</v>
      </c>
      <c r="AE56" s="732">
        <f>PMemission!AE63*(AE114)</f>
        <v>0</v>
      </c>
      <c r="AF56" s="732">
        <f>PMemission!AF63*(AF114)</f>
        <v>0</v>
      </c>
      <c r="AG56" s="732">
        <f>PMemission!AG63*(AG114)</f>
        <v>59.06249999999999</v>
      </c>
      <c r="AH56" s="732">
        <f>PMemission!AH63*(AH114)</f>
        <v>0</v>
      </c>
      <c r="AI56" s="732">
        <f>PMemission!AI63*(AI114)</f>
        <v>0</v>
      </c>
      <c r="AJ56" s="1309">
        <f>SUM(Z56:AI56)</f>
        <v>450.925</v>
      </c>
      <c r="AK56" s="663"/>
      <c r="AL56" s="1262" t="s">
        <v>137</v>
      </c>
      <c r="AM56" s="156">
        <f ca="1" t="shared" si="137"/>
        <v>511.4364194228625</v>
      </c>
      <c r="AN56" s="156">
        <f ca="1" t="shared" si="138"/>
        <v>0</v>
      </c>
      <c r="AO56" s="156">
        <f ca="1" t="shared" si="139"/>
        <v>421.4732282569598</v>
      </c>
      <c r="AP56" s="156">
        <f ca="1" t="shared" si="140"/>
        <v>52.50186377745465</v>
      </c>
      <c r="AQ56" s="156">
        <f ca="1" t="shared" si="141"/>
        <v>0</v>
      </c>
      <c r="AR56" s="156">
        <f ca="1" t="shared" si="142"/>
        <v>0</v>
      </c>
      <c r="AS56" s="156">
        <f ca="1" t="shared" si="143"/>
        <v>0</v>
      </c>
      <c r="AT56" s="156">
        <f ca="1" t="shared" si="144"/>
        <v>92.08047044436314</v>
      </c>
      <c r="AU56" s="154">
        <f ca="1">AU$21*(Mtoe!$AI70/Mtoe!$AI$35)</f>
        <v>2697.460934210211</v>
      </c>
      <c r="AV56" s="154">
        <f ca="1">AV$21*(Mtoe!$AJ70/Mtoe!$AJ$35)</f>
        <v>337.1359230871444</v>
      </c>
      <c r="AW56" s="117">
        <f ca="1">SUM(AM56:AV56)</f>
        <v>4112.088839198996</v>
      </c>
      <c r="AX56" s="26"/>
      <c r="AY56" s="78" t="s">
        <v>137</v>
      </c>
      <c r="AZ56" s="116">
        <f ca="1" t="shared" si="145"/>
        <v>27494.705928789415</v>
      </c>
      <c r="BA56" s="116">
        <f ca="1" t="shared" si="145"/>
        <v>0</v>
      </c>
      <c r="BB56" s="116">
        <f ca="1" t="shared" si="145"/>
        <v>22658.3051728299</v>
      </c>
      <c r="BC56" s="116">
        <f ca="1" t="shared" si="145"/>
        <v>2822.488290731115</v>
      </c>
      <c r="BD56" s="116">
        <f ca="1" t="shared" si="145"/>
        <v>0</v>
      </c>
      <c r="BE56" s="116">
        <f ca="1" t="shared" si="145"/>
        <v>0</v>
      </c>
      <c r="BF56" s="116">
        <f ca="1" t="shared" si="145"/>
        <v>0</v>
      </c>
      <c r="BG56" s="116">
        <f ca="1" t="shared" si="145"/>
        <v>4950.225209830208</v>
      </c>
      <c r="BH56" s="116">
        <f ca="1" t="shared" si="145"/>
        <v>145014.88811493097</v>
      </c>
      <c r="BI56" s="116">
        <f ca="1" t="shared" si="145"/>
        <v>18124.350772227455</v>
      </c>
      <c r="BJ56" s="117">
        <f ca="1" t="shared" si="85"/>
        <v>221064.96348933905</v>
      </c>
      <c r="BK56" s="4">
        <f ca="1" t="shared" si="146"/>
        <v>9.562744331780907</v>
      </c>
      <c r="BL56" s="4" t="s">
        <v>94</v>
      </c>
      <c r="BM56" s="142"/>
      <c r="BN56" s="91"/>
    </row>
    <row r="57" spans="1:66" ht="12.75">
      <c r="A57" s="224" t="s">
        <v>135</v>
      </c>
      <c r="B57" s="732">
        <f>PMemission!B64*(B115)</f>
        <v>0</v>
      </c>
      <c r="C57" s="732">
        <f>PMemission!C64*(C115)</f>
        <v>0</v>
      </c>
      <c r="D57" s="732">
        <f>PMemission!D64*(D115)</f>
        <v>0</v>
      </c>
      <c r="E57" s="732">
        <f>PMemission!E64*(E115)</f>
        <v>0</v>
      </c>
      <c r="F57" s="732">
        <f>PMemission!F64*(F115)</f>
        <v>0</v>
      </c>
      <c r="G57" s="732">
        <f>PMemission!G64*(G115)</f>
        <v>0</v>
      </c>
      <c r="H57" s="732">
        <f>PMemission!H64*(H115)</f>
        <v>0</v>
      </c>
      <c r="I57" s="732">
        <f>PMemission!I64*(I115)</f>
        <v>0</v>
      </c>
      <c r="J57" s="732">
        <f>PMemission!J64*(J115)</f>
        <v>0</v>
      </c>
      <c r="K57" s="733">
        <f>PMemission!K64*(K115)</f>
        <v>0</v>
      </c>
      <c r="L57" s="1311"/>
      <c r="M57" s="734"/>
      <c r="N57" s="732">
        <f>PMemission!N64*(N115)</f>
        <v>0</v>
      </c>
      <c r="O57" s="732">
        <f>PMemission!O64*(O115)</f>
        <v>0</v>
      </c>
      <c r="P57" s="732">
        <f>PMemission!P64*(P115)</f>
        <v>0</v>
      </c>
      <c r="Q57" s="732">
        <f>PMemission!Q64*(Q115)</f>
        <v>0</v>
      </c>
      <c r="R57" s="732">
        <f>PMemission!R64*(R115)</f>
        <v>0</v>
      </c>
      <c r="S57" s="732">
        <f>PMemission!S64*(S115)</f>
        <v>0</v>
      </c>
      <c r="T57" s="732">
        <f>PMemission!T64*(T115)</f>
        <v>0</v>
      </c>
      <c r="U57" s="732">
        <f>PMemission!U64*(U115)</f>
        <v>0</v>
      </c>
      <c r="V57" s="732">
        <f>PMemission!V64*(V115)</f>
        <v>0</v>
      </c>
      <c r="W57" s="733">
        <f>PMemission!W64*(W115)</f>
        <v>0</v>
      </c>
      <c r="X57" s="1311"/>
      <c r="Y57" s="734"/>
      <c r="Z57" s="732">
        <f>PMemission!Z64*(Z115)</f>
        <v>0</v>
      </c>
      <c r="AA57" s="732">
        <f>PMemission!AA64*(AA115)</f>
        <v>0</v>
      </c>
      <c r="AB57" s="732">
        <f>PMemission!AB64*(AB115)</f>
        <v>0</v>
      </c>
      <c r="AC57" s="732">
        <f>PMemission!AC64*(AC115)</f>
        <v>0</v>
      </c>
      <c r="AD57" s="732">
        <f>PMemission!AD64*(AD115)</f>
        <v>0</v>
      </c>
      <c r="AE57" s="732">
        <f>PMemission!AE64*(AE115)</f>
        <v>0</v>
      </c>
      <c r="AF57" s="732">
        <f>PMemission!AF64*(AF115)</f>
        <v>0</v>
      </c>
      <c r="AG57" s="732">
        <f>PMemission!AG64*(AG115)</f>
        <v>0</v>
      </c>
      <c r="AH57" s="732">
        <f>PMemission!AH64*(AH115)</f>
        <v>0</v>
      </c>
      <c r="AI57" s="732">
        <f>PMemission!AI64*(AI115)</f>
        <v>0</v>
      </c>
      <c r="AJ57" s="1309"/>
      <c r="AK57" s="663"/>
      <c r="AL57" s="1262" t="s">
        <v>135</v>
      </c>
      <c r="AM57" s="156">
        <f ca="1" t="shared" si="137"/>
        <v>0</v>
      </c>
      <c r="AN57" s="156">
        <f ca="1" t="shared" si="138"/>
        <v>0</v>
      </c>
      <c r="AO57" s="156">
        <f ca="1" t="shared" si="139"/>
        <v>0</v>
      </c>
      <c r="AP57" s="156">
        <f ca="1" t="shared" si="140"/>
        <v>0</v>
      </c>
      <c r="AQ57" s="156">
        <f ca="1" t="shared" si="141"/>
        <v>0</v>
      </c>
      <c r="AR57" s="156">
        <f ca="1" t="shared" si="142"/>
        <v>0</v>
      </c>
      <c r="AS57" s="156">
        <f ca="1" t="shared" si="143"/>
        <v>0</v>
      </c>
      <c r="AT57" s="156">
        <f ca="1" t="shared" si="144"/>
        <v>0</v>
      </c>
      <c r="AU57" s="154">
        <f ca="1">AU$21*(Mtoe!$AI71/Mtoe!$AI$35)</f>
        <v>0</v>
      </c>
      <c r="AV57" s="154">
        <f ca="1">AV$21*(Mtoe!$AJ71/Mtoe!$AJ$35)</f>
        <v>0</v>
      </c>
      <c r="AW57" s="117"/>
      <c r="AX57" s="26"/>
      <c r="AY57" s="78" t="s">
        <v>135</v>
      </c>
      <c r="AZ57" s="116">
        <f ca="1" t="shared" si="145"/>
        <v>0</v>
      </c>
      <c r="BA57" s="116">
        <f ca="1" t="shared" si="145"/>
        <v>0</v>
      </c>
      <c r="BB57" s="116">
        <f ca="1" t="shared" si="145"/>
        <v>0</v>
      </c>
      <c r="BC57" s="116">
        <f ca="1" t="shared" si="145"/>
        <v>0</v>
      </c>
      <c r="BD57" s="116">
        <f ca="1" t="shared" si="145"/>
        <v>0</v>
      </c>
      <c r="BE57" s="116">
        <f ca="1" t="shared" si="145"/>
        <v>0</v>
      </c>
      <c r="BF57" s="116">
        <f ca="1" t="shared" si="145"/>
        <v>0</v>
      </c>
      <c r="BG57" s="116">
        <f ca="1" t="shared" si="145"/>
        <v>0</v>
      </c>
      <c r="BH57" s="116">
        <f ca="1" t="shared" si="145"/>
        <v>0</v>
      </c>
      <c r="BI57" s="116">
        <f ca="1" t="shared" si="145"/>
        <v>0</v>
      </c>
      <c r="BJ57" s="117"/>
      <c r="BK57" s="4">
        <f ca="1" t="shared" si="146"/>
        <v>0</v>
      </c>
      <c r="BL57" s="4"/>
      <c r="BM57" s="142"/>
      <c r="BN57" s="91"/>
    </row>
    <row r="58" spans="1:66" ht="12.75">
      <c r="A58" s="225" t="s">
        <v>136</v>
      </c>
      <c r="B58" s="732">
        <f>PMemission!B65*(B116)</f>
        <v>0</v>
      </c>
      <c r="C58" s="732">
        <f>PMemission!C65*(C116)</f>
        <v>0</v>
      </c>
      <c r="D58" s="732">
        <f>PMemission!D65*(D116)</f>
        <v>0</v>
      </c>
      <c r="E58" s="732">
        <f>PMemission!E65*(E116)</f>
        <v>0</v>
      </c>
      <c r="F58" s="732">
        <f>PMemission!F65*(F116)</f>
        <v>0</v>
      </c>
      <c r="G58" s="732">
        <f>PMemission!G65*(G116)</f>
        <v>0</v>
      </c>
      <c r="H58" s="732">
        <f>PMemission!H65*(H116)</f>
        <v>0</v>
      </c>
      <c r="I58" s="732">
        <f>PMemission!I65*(I116)</f>
        <v>0</v>
      </c>
      <c r="J58" s="732">
        <f>PMemission!J65*(J116)</f>
        <v>0</v>
      </c>
      <c r="K58" s="733">
        <f>PMemission!K65*(K116)</f>
        <v>0</v>
      </c>
      <c r="L58" s="1311"/>
      <c r="M58" s="734"/>
      <c r="N58" s="732">
        <f>PMemission!N65*(N116)</f>
        <v>0</v>
      </c>
      <c r="O58" s="732">
        <f>PMemission!O65*(O116)</f>
        <v>0</v>
      </c>
      <c r="P58" s="732">
        <f>PMemission!P65*(P116)</f>
        <v>0</v>
      </c>
      <c r="Q58" s="732">
        <f>PMemission!Q65*(Q116)</f>
        <v>0</v>
      </c>
      <c r="R58" s="732">
        <f>PMemission!R65*(R116)</f>
        <v>0</v>
      </c>
      <c r="S58" s="732">
        <f>PMemission!S65*(S116)</f>
        <v>0</v>
      </c>
      <c r="T58" s="732">
        <f>PMemission!T65*(T116)</f>
        <v>0</v>
      </c>
      <c r="U58" s="732">
        <f>PMemission!U65*(U116)</f>
        <v>0</v>
      </c>
      <c r="V58" s="732">
        <f>PMemission!V65*(V116)</f>
        <v>0</v>
      </c>
      <c r="W58" s="733">
        <f>PMemission!W65*(W116)</f>
        <v>0</v>
      </c>
      <c r="X58" s="1311"/>
      <c r="Y58" s="663"/>
      <c r="Z58" s="732">
        <f>PMemission!Z65*(Z116)</f>
        <v>0</v>
      </c>
      <c r="AA58" s="732">
        <f>PMemission!AA65*(AA116)</f>
        <v>0</v>
      </c>
      <c r="AB58" s="732">
        <f>PMemission!AB65*(AB116)</f>
        <v>0</v>
      </c>
      <c r="AC58" s="732">
        <f>PMemission!AC65*(AC116)</f>
        <v>0</v>
      </c>
      <c r="AD58" s="732">
        <f>PMemission!AD65*(AD116)</f>
        <v>0</v>
      </c>
      <c r="AE58" s="732">
        <f>PMemission!AE65*(AE116)</f>
        <v>0</v>
      </c>
      <c r="AF58" s="732">
        <f>PMemission!AF65*(AF116)</f>
        <v>0</v>
      </c>
      <c r="AG58" s="732">
        <f>PMemission!AG65*(AG116)</f>
        <v>0</v>
      </c>
      <c r="AH58" s="732">
        <f>PMemission!AH65*(AH116)</f>
        <v>0</v>
      </c>
      <c r="AI58" s="732">
        <f>PMemission!AI65*(AI116)</f>
        <v>0</v>
      </c>
      <c r="AJ58" s="1309"/>
      <c r="AK58" s="663"/>
      <c r="AL58" s="1262" t="s">
        <v>136</v>
      </c>
      <c r="AM58" s="156">
        <f ca="1" t="shared" si="137"/>
        <v>0</v>
      </c>
      <c r="AN58" s="156">
        <f ca="1" t="shared" si="138"/>
        <v>0</v>
      </c>
      <c r="AO58" s="156">
        <f ca="1" t="shared" si="139"/>
        <v>0</v>
      </c>
      <c r="AP58" s="156">
        <f ca="1" t="shared" si="140"/>
        <v>0</v>
      </c>
      <c r="AQ58" s="156">
        <f ca="1" t="shared" si="141"/>
        <v>0</v>
      </c>
      <c r="AR58" s="156">
        <f ca="1" t="shared" si="142"/>
        <v>0</v>
      </c>
      <c r="AS58" s="156">
        <f ca="1" t="shared" si="143"/>
        <v>0</v>
      </c>
      <c r="AT58" s="156">
        <f ca="1" t="shared" si="144"/>
        <v>0</v>
      </c>
      <c r="AU58" s="154">
        <f ca="1">AU$21*(Mtoe!$AI72/Mtoe!$AI$35)</f>
        <v>0</v>
      </c>
      <c r="AV58" s="154">
        <f ca="1">AV$21*(Mtoe!$AJ72/Mtoe!$AJ$35)</f>
        <v>0</v>
      </c>
      <c r="AW58" s="117"/>
      <c r="AX58" s="26"/>
      <c r="AY58" s="78" t="s">
        <v>136</v>
      </c>
      <c r="AZ58" s="116">
        <f ca="1" t="shared" si="145"/>
        <v>0</v>
      </c>
      <c r="BA58" s="116">
        <f ca="1" t="shared" si="145"/>
        <v>0</v>
      </c>
      <c r="BB58" s="116">
        <f ca="1" t="shared" si="145"/>
        <v>0</v>
      </c>
      <c r="BC58" s="116">
        <f ca="1" t="shared" si="145"/>
        <v>0</v>
      </c>
      <c r="BD58" s="116">
        <f ca="1" t="shared" si="145"/>
        <v>0</v>
      </c>
      <c r="BE58" s="116">
        <f ca="1" t="shared" si="145"/>
        <v>0</v>
      </c>
      <c r="BF58" s="116">
        <f ca="1" t="shared" si="145"/>
        <v>0</v>
      </c>
      <c r="BG58" s="116">
        <f ca="1" t="shared" si="145"/>
        <v>0</v>
      </c>
      <c r="BH58" s="116">
        <f ca="1" t="shared" si="145"/>
        <v>0</v>
      </c>
      <c r="BI58" s="116">
        <f ca="1" t="shared" si="145"/>
        <v>0</v>
      </c>
      <c r="BJ58" s="117"/>
      <c r="BK58" s="4">
        <f ca="1" t="shared" si="146"/>
        <v>0</v>
      </c>
      <c r="BL58" s="4"/>
      <c r="BM58" s="142"/>
      <c r="BN58" s="91"/>
    </row>
    <row r="59" spans="1:66" ht="12.75">
      <c r="A59" s="48" t="s">
        <v>44</v>
      </c>
      <c r="B59" s="732">
        <f>PMemission!B66*(B117)</f>
        <v>20.010117187499993</v>
      </c>
      <c r="C59" s="732">
        <f>PMemission!C66*(C117)</f>
        <v>0</v>
      </c>
      <c r="D59" s="732">
        <f>PMemission!D66*(D117)</f>
        <v>3.3459</v>
      </c>
      <c r="E59" s="732">
        <f>PMemission!E66*(E117)</f>
        <v>0</v>
      </c>
      <c r="F59" s="732">
        <f>PMemission!F66*(F117)</f>
        <v>0</v>
      </c>
      <c r="G59" s="732">
        <f>PMemission!G66*(G117)</f>
        <v>0</v>
      </c>
      <c r="H59" s="732">
        <f>PMemission!H66*(H117)</f>
        <v>0</v>
      </c>
      <c r="I59" s="732">
        <f>PMemission!I66*(I117)</f>
        <v>5.193785714285715</v>
      </c>
      <c r="J59" s="732">
        <f>PMemission!J66*(J117)</f>
        <v>0</v>
      </c>
      <c r="K59" s="733">
        <f>PMemission!K66*(K117)</f>
        <v>0</v>
      </c>
      <c r="L59" s="1311">
        <f>SUM(B59:K59)</f>
        <v>28.54980290178571</v>
      </c>
      <c r="M59" s="734"/>
      <c r="N59" s="732">
        <f>PMemission!N66*(N117)</f>
        <v>76.15692626953125</v>
      </c>
      <c r="O59" s="732">
        <f>PMemission!O66*(O117)</f>
        <v>0</v>
      </c>
      <c r="P59" s="732">
        <f>PMemission!P66*(P117)</f>
        <v>127.34231249999999</v>
      </c>
      <c r="Q59" s="732">
        <f>PMemission!Q66*(Q117)</f>
        <v>0</v>
      </c>
      <c r="R59" s="732">
        <f>PMemission!R66*(R117)</f>
        <v>0</v>
      </c>
      <c r="S59" s="732">
        <f>PMemission!S66*(S117)</f>
        <v>0</v>
      </c>
      <c r="T59" s="732">
        <f>PMemission!T66*(T117)</f>
        <v>0</v>
      </c>
      <c r="U59" s="732">
        <f>PMemission!U66*(U117)</f>
        <v>0</v>
      </c>
      <c r="V59" s="732">
        <f>PMemission!V66*(V117)</f>
        <v>0</v>
      </c>
      <c r="W59" s="733">
        <f>PMemission!W66*(W117)</f>
        <v>0</v>
      </c>
      <c r="X59" s="1311">
        <f>SUM(N59:W59)</f>
        <v>203.49923876953125</v>
      </c>
      <c r="Y59" s="663"/>
      <c r="Z59" s="732">
        <f>PMemission!Z66*(Z117)</f>
        <v>10.829999999999998</v>
      </c>
      <c r="AA59" s="732">
        <f>PMemission!AA66*(AA117)</f>
        <v>0</v>
      </c>
      <c r="AB59" s="732">
        <f>PMemission!AB66*(AB117)</f>
        <v>66.91799999999999</v>
      </c>
      <c r="AC59" s="732">
        <f>PMemission!AC66*(AC117)</f>
        <v>1.3908</v>
      </c>
      <c r="AD59" s="732">
        <f>PMemission!AD66*(AD117)</f>
        <v>0</v>
      </c>
      <c r="AE59" s="732">
        <f>PMemission!AE66*(AE117)</f>
        <v>0</v>
      </c>
      <c r="AF59" s="732">
        <f>PMemission!AF66*(AF117)</f>
        <v>0</v>
      </c>
      <c r="AG59" s="732">
        <f>PMemission!AG66*(AG117)</f>
        <v>16.91</v>
      </c>
      <c r="AH59" s="732">
        <f>PMemission!AH66*(AH117)</f>
        <v>0</v>
      </c>
      <c r="AI59" s="732">
        <f>PMemission!AI66*(AI117)</f>
        <v>0</v>
      </c>
      <c r="AJ59" s="1309">
        <f>SUM(Z59:AI59)</f>
        <v>96.04879999999999</v>
      </c>
      <c r="AK59" s="663"/>
      <c r="AL59" s="1262" t="s">
        <v>44</v>
      </c>
      <c r="AM59" s="156">
        <f ca="1" t="shared" si="137"/>
        <v>103.33491285668336</v>
      </c>
      <c r="AN59" s="156">
        <f ca="1" t="shared" si="138"/>
        <v>0</v>
      </c>
      <c r="AO59" s="156">
        <f ca="1" t="shared" si="139"/>
        <v>190.84285031508398</v>
      </c>
      <c r="AP59" s="156">
        <f ca="1" t="shared" si="140"/>
        <v>1.3431978319923463</v>
      </c>
      <c r="AQ59" s="156">
        <f ca="1" t="shared" si="141"/>
        <v>0</v>
      </c>
      <c r="AR59" s="156">
        <f ca="1" t="shared" si="142"/>
        <v>0</v>
      </c>
      <c r="AS59" s="156">
        <f ca="1" t="shared" si="143"/>
        <v>0</v>
      </c>
      <c r="AT59" s="156">
        <f ca="1" t="shared" si="144"/>
        <v>21.347251258449788</v>
      </c>
      <c r="AU59" s="154">
        <f ca="1">AU$21*(Mtoe!$AI73/Mtoe!$AI$35)</f>
        <v>185.70705775249738</v>
      </c>
      <c r="AV59" s="154">
        <f ca="1">AV$21*(Mtoe!$AJ73/Mtoe!$AJ$35)</f>
        <v>11.708912298834955</v>
      </c>
      <c r="AW59" s="117">
        <f ca="1">SUM(AM59:AV59)</f>
        <v>514.2841823135418</v>
      </c>
      <c r="AX59" s="26"/>
      <c r="AY59" s="78" t="s">
        <v>44</v>
      </c>
      <c r="AZ59" s="116">
        <f ca="1" t="shared" si="145"/>
        <v>5555.261481725801</v>
      </c>
      <c r="BA59" s="116">
        <f ca="1" t="shared" si="145"/>
        <v>0</v>
      </c>
      <c r="BB59" s="116">
        <f ca="1" t="shared" si="145"/>
        <v>10259.668355152435</v>
      </c>
      <c r="BC59" s="116">
        <f ca="1" t="shared" si="145"/>
        <v>72.21001084844947</v>
      </c>
      <c r="BD59" s="116">
        <f ca="1" t="shared" si="145"/>
        <v>0</v>
      </c>
      <c r="BE59" s="116">
        <f ca="1" t="shared" si="145"/>
        <v>0</v>
      </c>
      <c r="BF59" s="116">
        <f ca="1" t="shared" si="145"/>
        <v>0</v>
      </c>
      <c r="BG59" s="116">
        <f ca="1" t="shared" si="145"/>
        <v>1147.6233866985717</v>
      </c>
      <c r="BH59" s="116">
        <f ca="1" t="shared" si="145"/>
        <v>9983.569311640966</v>
      </c>
      <c r="BI59" s="116">
        <f ca="1" t="shared" si="145"/>
        <v>629.4684699336481</v>
      </c>
      <c r="BJ59" s="117">
        <f ca="1">SUM(AZ59:BI59)</f>
        <v>27647.80101599987</v>
      </c>
      <c r="BK59" s="4">
        <f ca="1" t="shared" si="146"/>
        <v>1.1959780884260722</v>
      </c>
      <c r="BL59" s="4" t="s">
        <v>94</v>
      </c>
      <c r="BM59" s="142"/>
      <c r="BN59" s="91"/>
    </row>
    <row r="60" spans="1:66" ht="12.75">
      <c r="A60" s="48" t="s">
        <v>45</v>
      </c>
      <c r="B60" s="732">
        <f>PMemission!B67*(B118)</f>
        <v>0</v>
      </c>
      <c r="C60" s="732">
        <f>PMemission!C67*(C118)</f>
        <v>0</v>
      </c>
      <c r="D60" s="732">
        <f>PMemission!D67*(D118)</f>
        <v>0.0074</v>
      </c>
      <c r="E60" s="732">
        <f>PMemission!E67*(E118)</f>
        <v>0</v>
      </c>
      <c r="F60" s="732">
        <f>PMemission!F67*(F118)</f>
        <v>0</v>
      </c>
      <c r="G60" s="732">
        <f>PMemission!G67*(G118)</f>
        <v>0</v>
      </c>
      <c r="H60" s="732">
        <f>PMemission!H67*(H118)</f>
        <v>0</v>
      </c>
      <c r="I60" s="732">
        <f>PMemission!I67*(I118)</f>
        <v>0</v>
      </c>
      <c r="J60" s="732">
        <f>PMemission!J67*(J118)</f>
        <v>0</v>
      </c>
      <c r="K60" s="733">
        <f>PMemission!K67*(K118)</f>
        <v>0</v>
      </c>
      <c r="L60" s="1311">
        <f>SUM(B60:K60)</f>
        <v>0.0074</v>
      </c>
      <c r="M60" s="663"/>
      <c r="N60" s="732">
        <f>PMemission!N67*(N118)</f>
        <v>0</v>
      </c>
      <c r="O60" s="732">
        <f>PMemission!O67*(O118)</f>
        <v>0</v>
      </c>
      <c r="P60" s="732">
        <f>PMemission!P67*(P118)</f>
        <v>10.702250000000001</v>
      </c>
      <c r="Q60" s="732">
        <f>PMemission!Q67*(Q118)</f>
        <v>0</v>
      </c>
      <c r="R60" s="732">
        <f>PMemission!R67*(R118)</f>
        <v>0</v>
      </c>
      <c r="S60" s="732">
        <f>PMemission!S67*(S118)</f>
        <v>0</v>
      </c>
      <c r="T60" s="732">
        <f>PMemission!T67*(T118)</f>
        <v>0</v>
      </c>
      <c r="U60" s="732">
        <f>PMemission!U67*(U118)</f>
        <v>0</v>
      </c>
      <c r="V60" s="732">
        <f>PMemission!V67*(V118)</f>
        <v>0</v>
      </c>
      <c r="W60" s="733">
        <f>PMemission!W67*(W118)</f>
        <v>0</v>
      </c>
      <c r="X60" s="1311">
        <f>SUM(N60:W60)</f>
        <v>10.702250000000001</v>
      </c>
      <c r="Y60" s="663"/>
      <c r="Z60" s="732">
        <f>PMemission!Z67*(Z118)</f>
        <v>0</v>
      </c>
      <c r="AA60" s="732">
        <f>PMemission!AA67*(AA118)</f>
        <v>0</v>
      </c>
      <c r="AB60" s="732">
        <f>PMemission!AB67*(AB118)</f>
        <v>0.148</v>
      </c>
      <c r="AC60" s="732">
        <f>PMemission!AC67*(AC118)</f>
        <v>0</v>
      </c>
      <c r="AD60" s="732">
        <f>PMemission!AD67*(AD118)</f>
        <v>0</v>
      </c>
      <c r="AE60" s="732">
        <f>PMemission!AE67*(AE118)</f>
        <v>0</v>
      </c>
      <c r="AF60" s="732">
        <f>PMemission!AF67*(AF118)</f>
        <v>0</v>
      </c>
      <c r="AG60" s="732">
        <f>PMemission!AG67*(AG118)</f>
        <v>0</v>
      </c>
      <c r="AH60" s="732">
        <f>PMemission!AH67*(AH118)</f>
        <v>0</v>
      </c>
      <c r="AI60" s="732">
        <f>PMemission!AI67*(AI118)</f>
        <v>0</v>
      </c>
      <c r="AJ60" s="1309">
        <f>SUM(Z60:AI60)</f>
        <v>0.148</v>
      </c>
      <c r="AK60" s="663"/>
      <c r="AL60" s="1262" t="s">
        <v>45</v>
      </c>
      <c r="AM60" s="156">
        <f ca="1" t="shared" si="137"/>
        <v>0</v>
      </c>
      <c r="AN60" s="156">
        <f ca="1" t="shared" si="138"/>
        <v>0</v>
      </c>
      <c r="AO60" s="156">
        <f ca="1" t="shared" si="139"/>
        <v>10.486031018501366</v>
      </c>
      <c r="AP60" s="156">
        <f ca="1" t="shared" si="140"/>
        <v>0</v>
      </c>
      <c r="AQ60" s="156">
        <f ca="1" t="shared" si="141"/>
        <v>0</v>
      </c>
      <c r="AR60" s="156">
        <f ca="1" t="shared" si="142"/>
        <v>0</v>
      </c>
      <c r="AS60" s="156">
        <f ca="1" t="shared" si="143"/>
        <v>0</v>
      </c>
      <c r="AT60" s="156">
        <f ca="1" t="shared" si="144"/>
        <v>0</v>
      </c>
      <c r="AU60" s="154">
        <f ca="1">AU$21*(Mtoe!$AI74/Mtoe!$AI$35)</f>
        <v>2.260126463519238</v>
      </c>
      <c r="AV60" s="154">
        <f ca="1">AV$21*(Mtoe!$AJ74/Mtoe!$AJ$35)</f>
        <v>0.8075111930231005</v>
      </c>
      <c r="AW60" s="117">
        <f ca="1">SUM(AM60:AV60)</f>
        <v>13.553668675043706</v>
      </c>
      <c r="AX60" s="26"/>
      <c r="AY60" s="78" t="s">
        <v>45</v>
      </c>
      <c r="AZ60" s="116">
        <f ca="1" t="shared" si="145"/>
        <v>0</v>
      </c>
      <c r="BA60" s="116">
        <f ca="1" t="shared" si="145"/>
        <v>0</v>
      </c>
      <c r="BB60" s="116">
        <f ca="1" t="shared" si="145"/>
        <v>563.7266496179662</v>
      </c>
      <c r="BC60" s="116">
        <f ca="1" t="shared" si="145"/>
        <v>0</v>
      </c>
      <c r="BD60" s="116">
        <f ca="1" t="shared" si="145"/>
        <v>0</v>
      </c>
      <c r="BE60" s="116">
        <f ca="1" t="shared" si="145"/>
        <v>0</v>
      </c>
      <c r="BF60" s="116">
        <f ca="1" t="shared" si="145"/>
        <v>0</v>
      </c>
      <c r="BG60" s="116">
        <f ca="1" t="shared" si="145"/>
        <v>0</v>
      </c>
      <c r="BH60" s="116">
        <f ca="1" t="shared" si="145"/>
        <v>121.50388614573187</v>
      </c>
      <c r="BI60" s="116">
        <f ca="1" t="shared" si="145"/>
        <v>43.41161861611367</v>
      </c>
      <c r="BJ60" s="117">
        <f ca="1">SUM(AZ60:BI60)</f>
        <v>728.6421543798117</v>
      </c>
      <c r="BK60" s="4">
        <f ca="1" t="shared" si="146"/>
        <v>0.03151932591085697</v>
      </c>
      <c r="BL60" s="4" t="s">
        <v>94</v>
      </c>
      <c r="BM60" s="142"/>
      <c r="BN60" s="91"/>
    </row>
    <row r="61" spans="1:66" ht="13.5" thickBot="1">
      <c r="A61" s="57" t="s">
        <v>35</v>
      </c>
      <c r="B61" s="735">
        <f>PMemission!B68*(B119)</f>
        <v>18.910761718750003</v>
      </c>
      <c r="C61" s="736">
        <f>PMemission!C68*(C119)</f>
        <v>0</v>
      </c>
      <c r="D61" s="736">
        <f>PMemission!D68*(D119)</f>
        <v>0.4183</v>
      </c>
      <c r="E61" s="736">
        <f>PMemission!E68*(E119)</f>
        <v>0</v>
      </c>
      <c r="F61" s="736">
        <f>PMemission!F68*(F119)</f>
        <v>0</v>
      </c>
      <c r="G61" s="736">
        <f>PMemission!G68*(G119)</f>
        <v>0</v>
      </c>
      <c r="H61" s="736">
        <f>PMemission!H68*(H119)</f>
        <v>0</v>
      </c>
      <c r="I61" s="736">
        <f>PMemission!I68*(I119)</f>
        <v>0.13667857142857145</v>
      </c>
      <c r="J61" s="736">
        <f>PMemission!J68*(J119)</f>
        <v>0</v>
      </c>
      <c r="K61" s="737">
        <f>PMemission!K68*(K119)</f>
        <v>0</v>
      </c>
      <c r="L61" s="1326">
        <f>SUM(B61:K61)</f>
        <v>19.465740290178573</v>
      </c>
      <c r="M61" s="663"/>
      <c r="N61" s="735">
        <f>PMemission!N68*(N119)</f>
        <v>15.364993896484378</v>
      </c>
      <c r="O61" s="736">
        <f>PMemission!O68*(O119)</f>
        <v>0</v>
      </c>
      <c r="P61" s="736">
        <f>PMemission!P68*(P119)</f>
        <v>6.797375</v>
      </c>
      <c r="Q61" s="736">
        <f>PMemission!Q68*(Q119)</f>
        <v>0</v>
      </c>
      <c r="R61" s="736">
        <f>PMemission!R68*(R119)</f>
        <v>0</v>
      </c>
      <c r="S61" s="736">
        <f>PMemission!S68*(S119)</f>
        <v>0</v>
      </c>
      <c r="T61" s="736">
        <f>PMemission!T68*(T119)</f>
        <v>0</v>
      </c>
      <c r="U61" s="736">
        <f>PMemission!U68*(U119)</f>
        <v>0</v>
      </c>
      <c r="V61" s="736">
        <f>PMemission!V68*(V119)</f>
        <v>0</v>
      </c>
      <c r="W61" s="737">
        <f>PMemission!W68*(W119)</f>
        <v>0</v>
      </c>
      <c r="X61" s="1326">
        <f>SUM(N61:W61)</f>
        <v>22.162368896484377</v>
      </c>
      <c r="Y61" s="663"/>
      <c r="Z61" s="736">
        <f>PMemission!Z68*(Z119)</f>
        <v>5.117500000000001</v>
      </c>
      <c r="AA61" s="736">
        <f>PMemission!AA68*(AA119)</f>
        <v>0</v>
      </c>
      <c r="AB61" s="736">
        <f>PMemission!AB68*(AB119)</f>
        <v>8.366</v>
      </c>
      <c r="AC61" s="736">
        <f>PMemission!AC68*(AC119)</f>
        <v>7.5027</v>
      </c>
      <c r="AD61" s="736">
        <f>PMemission!AD68*(AD119)</f>
        <v>0</v>
      </c>
      <c r="AE61" s="736">
        <f>PMemission!AE68*(AE119)</f>
        <v>0</v>
      </c>
      <c r="AF61" s="736">
        <f>PMemission!AF68*(AF119)</f>
        <v>0</v>
      </c>
      <c r="AG61" s="736">
        <f>PMemission!AG68*(AG119)</f>
        <v>0.22250000000000003</v>
      </c>
      <c r="AH61" s="736">
        <f>PMemission!AH68*(AH119)</f>
        <v>0</v>
      </c>
      <c r="AI61" s="736">
        <f>PMemission!AI68*(AI119)</f>
        <v>0</v>
      </c>
      <c r="AJ61" s="1332">
        <f>SUM(Z61:AI61)</f>
        <v>21.2087</v>
      </c>
      <c r="AK61" s="663"/>
      <c r="AL61" s="1265" t="s">
        <v>35</v>
      </c>
      <c r="AM61" s="263">
        <f ca="1" t="shared" si="137"/>
        <v>38.04496371692777</v>
      </c>
      <c r="AN61" s="161">
        <f ca="1" t="shared" si="138"/>
        <v>0</v>
      </c>
      <c r="AO61" s="161">
        <f ca="1" t="shared" si="139"/>
        <v>15.048369340530154</v>
      </c>
      <c r="AP61" s="161">
        <f ca="1" t="shared" si="140"/>
        <v>7.2459090984246295</v>
      </c>
      <c r="AQ61" s="161">
        <f ca="1" t="shared" si="141"/>
        <v>0</v>
      </c>
      <c r="AR61" s="161">
        <f ca="1" t="shared" si="142"/>
        <v>0</v>
      </c>
      <c r="AS61" s="161">
        <f ca="1" t="shared" si="143"/>
        <v>0</v>
      </c>
      <c r="AT61" s="161">
        <f ca="1" t="shared" si="144"/>
        <v>0.34688515849939977</v>
      </c>
      <c r="AU61" s="154">
        <f ca="1">AU$21*(Mtoe!$AI75/Mtoe!$AI$35)</f>
        <v>21.094513659512895</v>
      </c>
      <c r="AV61" s="154">
        <f ca="1">AV$21*(Mtoe!$AJ75/Mtoe!$AJ$35)</f>
        <v>195.4177087115903</v>
      </c>
      <c r="AW61" s="122">
        <f ca="1">SUM(AM61:AV61)</f>
        <v>277.19834968548514</v>
      </c>
      <c r="AX61" s="26"/>
      <c r="AY61" s="79" t="s">
        <v>35</v>
      </c>
      <c r="AZ61" s="120">
        <f ca="1" t="shared" si="145"/>
        <v>2045.2886218951808</v>
      </c>
      <c r="BA61" s="121">
        <f ca="1" t="shared" si="145"/>
        <v>0</v>
      </c>
      <c r="BB61" s="121">
        <f ca="1" t="shared" si="145"/>
        <v>808.9969232003261</v>
      </c>
      <c r="BC61" s="121">
        <f ca="1" t="shared" si="145"/>
        <v>389.5384299630872</v>
      </c>
      <c r="BD61" s="121">
        <f ca="1" t="shared" si="145"/>
        <v>0</v>
      </c>
      <c r="BE61" s="121">
        <f ca="1" t="shared" si="145"/>
        <v>0</v>
      </c>
      <c r="BF61" s="121">
        <f ca="1" t="shared" si="145"/>
        <v>0</v>
      </c>
      <c r="BG61" s="121">
        <f ca="1" t="shared" si="145"/>
        <v>18.64846745713814</v>
      </c>
      <c r="BH61" s="121">
        <f ca="1" t="shared" si="145"/>
        <v>1134.0362706934975</v>
      </c>
      <c r="BI61" s="121">
        <f ca="1" t="shared" si="145"/>
        <v>10505.611705099505</v>
      </c>
      <c r="BJ61" s="122">
        <f ca="1">SUM(AZ61:BI61)</f>
        <v>14902.120418308736</v>
      </c>
      <c r="BK61" s="145">
        <f ca="1" t="shared" si="146"/>
        <v>0.6446302720809521</v>
      </c>
      <c r="BL61" s="144" t="s">
        <v>94</v>
      </c>
      <c r="BM61" s="142"/>
      <c r="BN61" s="91"/>
    </row>
    <row r="62" spans="4:25" ht="13.5" thickBot="1">
      <c r="D62">
        <f>Mtoe!D76</f>
        <v>37</v>
      </c>
      <c r="G62" s="94">
        <f ca="1">INDIRECT("TransportStatEUOECD!"&amp;"D"&amp;$D$62)</f>
        <v>551.7570517186545</v>
      </c>
      <c r="M62" s="26"/>
      <c r="Y62" s="26"/>
    </row>
    <row r="63" spans="1:64" ht="16.5" thickBot="1">
      <c r="A63" s="167" t="s">
        <v>116</v>
      </c>
      <c r="B63" s="191" t="s">
        <v>125</v>
      </c>
      <c r="C63" s="179"/>
      <c r="D63" s="179"/>
      <c r="E63" s="179"/>
      <c r="F63" s="179"/>
      <c r="G63" s="179"/>
      <c r="H63" s="179"/>
      <c r="I63" s="179"/>
      <c r="J63" s="178"/>
      <c r="K63" s="178"/>
      <c r="L63" s="759"/>
      <c r="M63" s="26"/>
      <c r="N63" s="192" t="s">
        <v>117</v>
      </c>
      <c r="O63" s="178"/>
      <c r="P63" s="178"/>
      <c r="Q63" s="178"/>
      <c r="R63" s="178"/>
      <c r="S63" s="178"/>
      <c r="T63" s="178"/>
      <c r="U63" s="178"/>
      <c r="V63" s="178"/>
      <c r="W63" s="178"/>
      <c r="X63" s="178"/>
      <c r="Y63" s="26"/>
      <c r="Z63" s="191" t="s">
        <v>125</v>
      </c>
      <c r="AA63" s="179"/>
      <c r="AB63" s="179"/>
      <c r="AC63" s="179"/>
      <c r="AD63" s="179"/>
      <c r="AE63" s="179"/>
      <c r="AF63" s="179"/>
      <c r="AG63" s="179"/>
      <c r="AH63" s="178"/>
      <c r="AI63" s="178"/>
      <c r="AJ63" s="1134"/>
      <c r="AK63" s="1189"/>
      <c r="AL63" s="1190" t="s">
        <v>349</v>
      </c>
      <c r="AM63" s="1190"/>
      <c r="AN63" s="1190"/>
      <c r="AO63" s="1190"/>
      <c r="AP63" s="1190"/>
      <c r="AQ63" s="1190"/>
      <c r="AR63" s="1190"/>
      <c r="AS63" s="1190"/>
      <c r="AT63" s="1191"/>
      <c r="BK63" s="11">
        <f ca="1">BK21+BK23+BK37+BK54</f>
        <v>99.99999999999997</v>
      </c>
      <c r="BL63" s="12" t="s">
        <v>94</v>
      </c>
    </row>
    <row r="64" spans="1:66" ht="16.5" thickBot="1">
      <c r="A64" s="177" t="s">
        <v>112</v>
      </c>
      <c r="B64" s="176"/>
      <c r="C64" s="176"/>
      <c r="D64" s="176"/>
      <c r="E64" s="176"/>
      <c r="F64" s="176"/>
      <c r="G64" s="176"/>
      <c r="H64" s="176"/>
      <c r="I64" s="176"/>
      <c r="J64" s="176"/>
      <c r="K64" s="176"/>
      <c r="L64" s="760"/>
      <c r="M64" s="26"/>
      <c r="N64" s="176"/>
      <c r="O64" s="176"/>
      <c r="P64" s="176"/>
      <c r="Q64" s="176"/>
      <c r="R64" s="176"/>
      <c r="S64" s="176"/>
      <c r="T64" s="176"/>
      <c r="U64" s="176"/>
      <c r="V64" s="176"/>
      <c r="W64" s="176"/>
      <c r="X64" s="176"/>
      <c r="Y64" s="26"/>
      <c r="Z64" s="176"/>
      <c r="AA64" s="176"/>
      <c r="AB64" s="176"/>
      <c r="AC64" s="176"/>
      <c r="AD64" s="176"/>
      <c r="AE64" s="176"/>
      <c r="AF64" s="176"/>
      <c r="AG64" s="176"/>
      <c r="AH64" s="176"/>
      <c r="AI64" s="176"/>
      <c r="AJ64" s="1135"/>
      <c r="AK64" s="1192"/>
      <c r="AL64" s="282" t="s">
        <v>353</v>
      </c>
      <c r="AM64" s="282"/>
      <c r="AN64" s="282"/>
      <c r="AO64" s="282"/>
      <c r="AP64" s="282"/>
      <c r="AQ64" s="282"/>
      <c r="AR64" s="282"/>
      <c r="AS64" s="282"/>
      <c r="AT64" s="1186"/>
      <c r="AW64" s="1193"/>
      <c r="AX64" s="1190"/>
      <c r="AY64" s="1190"/>
      <c r="AZ64" s="1190"/>
      <c r="BA64" s="1190"/>
      <c r="BB64" s="1190"/>
      <c r="BC64" s="1190"/>
      <c r="BD64" s="1190"/>
      <c r="BE64" s="1190"/>
      <c r="BF64" s="1190"/>
      <c r="BG64" s="1190"/>
      <c r="BH64" s="1190"/>
      <c r="BI64" s="1190"/>
      <c r="BJ64" s="1190"/>
      <c r="BK64" s="1190"/>
      <c r="BL64" s="1190"/>
      <c r="BM64" s="1190"/>
      <c r="BN64" s="1191"/>
    </row>
    <row r="65" spans="1:66" ht="15.75">
      <c r="A65" s="64" t="s">
        <v>9</v>
      </c>
      <c r="B65" s="176"/>
      <c r="C65" s="176"/>
      <c r="D65" s="176"/>
      <c r="E65" s="176"/>
      <c r="F65" s="176"/>
      <c r="G65" s="176"/>
      <c r="H65" s="176"/>
      <c r="I65" s="176"/>
      <c r="J65" s="176"/>
      <c r="K65" s="176"/>
      <c r="L65" s="760"/>
      <c r="M65" s="26"/>
      <c r="N65" s="176"/>
      <c r="O65" s="176"/>
      <c r="P65" s="176"/>
      <c r="Q65" s="176"/>
      <c r="R65" s="176"/>
      <c r="S65" s="176"/>
      <c r="T65" s="176"/>
      <c r="U65" s="176"/>
      <c r="V65" s="176"/>
      <c r="W65" s="176"/>
      <c r="X65" s="176"/>
      <c r="Y65" s="26"/>
      <c r="Z65" s="176"/>
      <c r="AA65" s="176"/>
      <c r="AB65" s="176"/>
      <c r="AC65" s="176"/>
      <c r="AD65" s="176"/>
      <c r="AE65" s="176"/>
      <c r="AF65" s="176"/>
      <c r="AG65" s="176"/>
      <c r="AH65" s="176"/>
      <c r="AI65" s="176"/>
      <c r="AJ65" s="1135"/>
      <c r="AK65" s="1192"/>
      <c r="AL65" s="282" t="s">
        <v>350</v>
      </c>
      <c r="AM65" s="282"/>
      <c r="AN65" s="282"/>
      <c r="AO65" s="282"/>
      <c r="AP65" s="282"/>
      <c r="AQ65" s="282"/>
      <c r="AR65" s="282"/>
      <c r="AS65" s="282"/>
      <c r="AT65" s="1186"/>
      <c r="AW65" s="1194"/>
      <c r="AX65" s="282"/>
      <c r="AY65" s="282"/>
      <c r="AZ65" s="282"/>
      <c r="BA65" s="282"/>
      <c r="BB65" s="282"/>
      <c r="BC65" s="282"/>
      <c r="BD65" s="282"/>
      <c r="BE65" s="282"/>
      <c r="BF65" s="282"/>
      <c r="BG65" s="282"/>
      <c r="BH65" s="282"/>
      <c r="BI65" s="282"/>
      <c r="BJ65" s="282"/>
      <c r="BK65" s="282"/>
      <c r="BL65" s="282"/>
      <c r="BM65" s="282"/>
      <c r="BN65" s="1186"/>
    </row>
    <row r="66" spans="1:66" ht="15.75">
      <c r="A66" s="168" t="s">
        <v>13</v>
      </c>
      <c r="B66" s="176"/>
      <c r="C66" s="176"/>
      <c r="D66" s="176"/>
      <c r="E66" s="176"/>
      <c r="F66" s="176"/>
      <c r="G66" s="176"/>
      <c r="H66" s="176"/>
      <c r="I66" s="176"/>
      <c r="J66" s="176"/>
      <c r="K66" s="176"/>
      <c r="L66" s="760"/>
      <c r="M66" s="26"/>
      <c r="N66" s="176"/>
      <c r="O66" s="176"/>
      <c r="P66" s="176"/>
      <c r="Q66" s="176"/>
      <c r="R66" s="176"/>
      <c r="S66" s="176"/>
      <c r="T66" s="176"/>
      <c r="U66" s="176"/>
      <c r="V66" s="176"/>
      <c r="W66" s="176"/>
      <c r="X66" s="176"/>
      <c r="Y66" s="26"/>
      <c r="Z66" s="176"/>
      <c r="AA66" s="176"/>
      <c r="AB66" s="176"/>
      <c r="AC66" s="176"/>
      <c r="AD66" s="176"/>
      <c r="AE66" s="176"/>
      <c r="AF66" s="176"/>
      <c r="AG66" s="176"/>
      <c r="AH66" s="176"/>
      <c r="AI66" s="176"/>
      <c r="AJ66" s="1135"/>
      <c r="AK66" s="1192"/>
      <c r="AL66" s="282" t="s">
        <v>351</v>
      </c>
      <c r="AM66" s="282"/>
      <c r="AN66" s="282"/>
      <c r="AO66" s="282"/>
      <c r="AP66" s="282"/>
      <c r="AQ66" s="282"/>
      <c r="AR66" s="282"/>
      <c r="AS66" s="282"/>
      <c r="AT66" s="1186"/>
      <c r="AW66" s="1194"/>
      <c r="AX66" s="282"/>
      <c r="AY66" s="282"/>
      <c r="AZ66" s="282"/>
      <c r="BA66" s="282"/>
      <c r="BB66" s="282"/>
      <c r="BC66" s="282"/>
      <c r="BD66" s="282"/>
      <c r="BE66" s="282"/>
      <c r="BF66" s="282"/>
      <c r="BG66" s="282"/>
      <c r="BH66" s="282"/>
      <c r="BI66" s="282"/>
      <c r="BJ66" s="282"/>
      <c r="BK66" s="282"/>
      <c r="BL66" s="282"/>
      <c r="BM66" s="282"/>
      <c r="BN66" s="1186"/>
    </row>
    <row r="67" spans="1:66" ht="15.75">
      <c r="A67" s="168" t="s">
        <v>10</v>
      </c>
      <c r="B67" s="175">
        <v>1.6</v>
      </c>
      <c r="C67" s="175">
        <v>1.6</v>
      </c>
      <c r="D67" s="175">
        <v>1.6</v>
      </c>
      <c r="E67" s="175">
        <v>1.6</v>
      </c>
      <c r="F67" s="176"/>
      <c r="G67" s="176"/>
      <c r="H67" s="176"/>
      <c r="I67" s="175">
        <v>1.6</v>
      </c>
      <c r="J67" s="176"/>
      <c r="K67" s="176"/>
      <c r="L67" s="761"/>
      <c r="M67" s="26"/>
      <c r="N67" s="175">
        <v>0.89</v>
      </c>
      <c r="O67" s="175">
        <v>0.89</v>
      </c>
      <c r="P67" s="175">
        <v>0.89</v>
      </c>
      <c r="Q67" s="175">
        <v>0.89</v>
      </c>
      <c r="R67" s="176"/>
      <c r="S67" s="176"/>
      <c r="T67" s="176"/>
      <c r="U67" s="175">
        <v>0.89</v>
      </c>
      <c r="V67" s="176"/>
      <c r="W67" s="176"/>
      <c r="X67" s="176"/>
      <c r="Y67" s="26"/>
      <c r="Z67" s="175">
        <v>1.6</v>
      </c>
      <c r="AA67" s="175">
        <v>1.6</v>
      </c>
      <c r="AB67" s="175">
        <v>1.6</v>
      </c>
      <c r="AC67" s="175">
        <v>1.6</v>
      </c>
      <c r="AD67" s="176"/>
      <c r="AE67" s="176"/>
      <c r="AF67" s="176"/>
      <c r="AG67" s="175">
        <v>1.6</v>
      </c>
      <c r="AH67" s="176"/>
      <c r="AI67" s="176"/>
      <c r="AJ67" s="761"/>
      <c r="AK67" s="1192"/>
      <c r="AL67" s="282" t="s">
        <v>352</v>
      </c>
      <c r="AM67" s="282"/>
      <c r="AN67" s="282"/>
      <c r="AO67" s="282"/>
      <c r="AP67" s="282"/>
      <c r="AQ67" s="282"/>
      <c r="AR67" s="282"/>
      <c r="AS67" s="282"/>
      <c r="AT67" s="1186"/>
      <c r="AW67" s="1194"/>
      <c r="AX67" s="282"/>
      <c r="AY67" s="282"/>
      <c r="AZ67" s="282"/>
      <c r="BA67" s="282"/>
      <c r="BB67" s="282"/>
      <c r="BC67" s="282"/>
      <c r="BD67" s="282"/>
      <c r="BE67" s="282"/>
      <c r="BF67" s="282"/>
      <c r="BG67" s="282"/>
      <c r="BH67" s="282"/>
      <c r="BI67" s="282"/>
      <c r="BJ67" s="282"/>
      <c r="BK67" s="282"/>
      <c r="BL67" s="282"/>
      <c r="BM67" s="282"/>
      <c r="BN67" s="1186"/>
    </row>
    <row r="68" spans="1:66" ht="15.75">
      <c r="A68" s="168" t="s">
        <v>11</v>
      </c>
      <c r="B68" s="175">
        <v>11</v>
      </c>
      <c r="C68" s="175">
        <v>11</v>
      </c>
      <c r="D68" s="175">
        <v>11</v>
      </c>
      <c r="E68" s="175">
        <v>11</v>
      </c>
      <c r="F68" s="176"/>
      <c r="G68" s="176"/>
      <c r="H68" s="176"/>
      <c r="I68" s="175">
        <v>11</v>
      </c>
      <c r="J68" s="176"/>
      <c r="K68" s="176"/>
      <c r="L68" s="761"/>
      <c r="M68" s="26"/>
      <c r="N68" s="175">
        <v>0.89</v>
      </c>
      <c r="O68" s="175">
        <v>0.89</v>
      </c>
      <c r="P68" s="175">
        <v>0.89</v>
      </c>
      <c r="Q68" s="175">
        <v>0.89</v>
      </c>
      <c r="R68" s="176"/>
      <c r="S68" s="176"/>
      <c r="T68" s="176"/>
      <c r="U68" s="175">
        <v>0.89</v>
      </c>
      <c r="V68" s="176"/>
      <c r="W68" s="176"/>
      <c r="X68" s="176"/>
      <c r="Y68" s="26"/>
      <c r="Z68" s="175">
        <v>11</v>
      </c>
      <c r="AA68" s="175">
        <v>11</v>
      </c>
      <c r="AB68" s="175">
        <v>11</v>
      </c>
      <c r="AC68" s="175">
        <v>11</v>
      </c>
      <c r="AD68" s="176"/>
      <c r="AE68" s="176"/>
      <c r="AF68" s="176"/>
      <c r="AG68" s="175">
        <v>11</v>
      </c>
      <c r="AH68" s="176"/>
      <c r="AI68" s="176"/>
      <c r="AJ68" s="761"/>
      <c r="AK68" s="1192"/>
      <c r="AL68" s="282"/>
      <c r="AM68" s="282"/>
      <c r="AN68" s="282"/>
      <c r="AO68" s="282"/>
      <c r="AP68" s="282"/>
      <c r="AQ68" s="282"/>
      <c r="AR68" s="282"/>
      <c r="AS68" s="282"/>
      <c r="AT68" s="1186"/>
      <c r="AW68" s="1194"/>
      <c r="AX68" s="282"/>
      <c r="AY68" s="282"/>
      <c r="AZ68" s="282"/>
      <c r="BA68" s="282"/>
      <c r="BB68" s="282"/>
      <c r="BC68" s="282"/>
      <c r="BD68" s="282"/>
      <c r="BE68" s="282"/>
      <c r="BF68" s="282"/>
      <c r="BG68" s="282"/>
      <c r="BH68" s="282"/>
      <c r="BI68" s="282"/>
      <c r="BJ68" s="282"/>
      <c r="BK68" s="282"/>
      <c r="BL68" s="282"/>
      <c r="BM68" s="282"/>
      <c r="BN68" s="1186"/>
    </row>
    <row r="69" spans="1:66" ht="15.75">
      <c r="A69" s="168" t="s">
        <v>12</v>
      </c>
      <c r="B69" s="175">
        <v>15</v>
      </c>
      <c r="C69" s="175">
        <v>15</v>
      </c>
      <c r="D69" s="175">
        <v>15</v>
      </c>
      <c r="E69" s="175">
        <v>15</v>
      </c>
      <c r="F69" s="176"/>
      <c r="G69" s="176"/>
      <c r="H69" s="176"/>
      <c r="I69" s="174">
        <v>15</v>
      </c>
      <c r="J69" s="176"/>
      <c r="K69" s="176"/>
      <c r="L69" s="761"/>
      <c r="M69" s="26"/>
      <c r="N69" s="175">
        <v>0.89</v>
      </c>
      <c r="O69" s="175">
        <v>0.89</v>
      </c>
      <c r="P69" s="175">
        <v>0.89</v>
      </c>
      <c r="Q69" s="175">
        <v>0.89</v>
      </c>
      <c r="R69" s="176"/>
      <c r="S69" s="176"/>
      <c r="T69" s="176"/>
      <c r="U69" s="175">
        <v>0.89</v>
      </c>
      <c r="V69" s="176"/>
      <c r="W69" s="176"/>
      <c r="X69" s="176"/>
      <c r="Y69" s="26"/>
      <c r="Z69" s="175">
        <v>15</v>
      </c>
      <c r="AA69" s="175">
        <v>15</v>
      </c>
      <c r="AB69" s="175">
        <v>15</v>
      </c>
      <c r="AC69" s="175">
        <v>15</v>
      </c>
      <c r="AD69" s="176"/>
      <c r="AE69" s="176"/>
      <c r="AF69" s="176"/>
      <c r="AG69" s="174">
        <v>15</v>
      </c>
      <c r="AH69" s="176"/>
      <c r="AI69" s="176"/>
      <c r="AJ69" s="761"/>
      <c r="AK69" s="1192"/>
      <c r="AL69" s="282"/>
      <c r="AM69" s="282"/>
      <c r="AN69" s="282"/>
      <c r="AO69" s="282"/>
      <c r="AP69" s="282"/>
      <c r="AQ69" s="282"/>
      <c r="AR69" s="282"/>
      <c r="AS69" s="282"/>
      <c r="AT69" s="1186"/>
      <c r="AW69" s="1194"/>
      <c r="AX69" s="282"/>
      <c r="AY69" s="282"/>
      <c r="AZ69" s="282"/>
      <c r="BA69" s="282"/>
      <c r="BB69" s="282"/>
      <c r="BC69" s="282"/>
      <c r="BD69" s="282"/>
      <c r="BE69" s="282"/>
      <c r="BF69" s="282"/>
      <c r="BG69" s="282"/>
      <c r="BH69" s="282"/>
      <c r="BI69" s="282"/>
      <c r="BJ69" s="282"/>
      <c r="BK69" s="282"/>
      <c r="BL69" s="282"/>
      <c r="BM69" s="282"/>
      <c r="BN69" s="1186"/>
    </row>
    <row r="70" spans="1:66" ht="15.75">
      <c r="A70" s="696" t="s">
        <v>229</v>
      </c>
      <c r="B70" s="175">
        <v>8.9</v>
      </c>
      <c r="C70" s="175">
        <v>8.9</v>
      </c>
      <c r="D70" s="175">
        <v>8.9</v>
      </c>
      <c r="E70" s="175">
        <v>8.9</v>
      </c>
      <c r="F70" s="176"/>
      <c r="G70" s="176"/>
      <c r="H70" s="176"/>
      <c r="I70" s="174">
        <v>8.9</v>
      </c>
      <c r="J70" s="176"/>
      <c r="K70" s="176"/>
      <c r="L70" s="761"/>
      <c r="M70" s="26"/>
      <c r="N70" s="175">
        <v>0.89</v>
      </c>
      <c r="O70" s="175">
        <v>0.89</v>
      </c>
      <c r="P70" s="175">
        <v>0.89</v>
      </c>
      <c r="Q70" s="175">
        <v>0.89</v>
      </c>
      <c r="R70" s="176"/>
      <c r="S70" s="176"/>
      <c r="T70" s="176"/>
      <c r="U70" s="175">
        <v>0.89</v>
      </c>
      <c r="V70" s="176"/>
      <c r="W70" s="176"/>
      <c r="X70" s="176"/>
      <c r="Y70" s="26"/>
      <c r="Z70" s="175">
        <v>8.9</v>
      </c>
      <c r="AA70" s="175">
        <v>8.9</v>
      </c>
      <c r="AB70" s="175">
        <v>8.9</v>
      </c>
      <c r="AC70" s="175">
        <v>8.9</v>
      </c>
      <c r="AD70" s="176"/>
      <c r="AE70" s="176"/>
      <c r="AF70" s="176"/>
      <c r="AG70" s="174">
        <v>8.9</v>
      </c>
      <c r="AH70" s="176"/>
      <c r="AI70" s="176"/>
      <c r="AJ70" s="761"/>
      <c r="AK70" s="1192"/>
      <c r="AL70" s="282"/>
      <c r="AM70" s="282"/>
      <c r="AN70" s="282"/>
      <c r="AO70" s="282"/>
      <c r="AP70" s="282"/>
      <c r="AQ70" s="282"/>
      <c r="AR70" s="282"/>
      <c r="AS70" s="282"/>
      <c r="AT70" s="1186"/>
      <c r="AW70" s="1194"/>
      <c r="AX70" s="282"/>
      <c r="AY70" s="282"/>
      <c r="AZ70" s="282"/>
      <c r="BA70" s="282"/>
      <c r="BB70" s="282"/>
      <c r="BC70" s="282"/>
      <c r="BD70" s="282"/>
      <c r="BE70" s="282"/>
      <c r="BF70" s="282"/>
      <c r="BG70" s="282"/>
      <c r="BH70" s="282"/>
      <c r="BI70" s="282"/>
      <c r="BJ70" s="282"/>
      <c r="BK70" s="282"/>
      <c r="BL70" s="282"/>
      <c r="BM70" s="282"/>
      <c r="BN70" s="1186"/>
    </row>
    <row r="71" spans="1:66" ht="15.75">
      <c r="A71" s="168" t="s">
        <v>14</v>
      </c>
      <c r="B71" s="175">
        <v>11</v>
      </c>
      <c r="C71" s="175">
        <v>11</v>
      </c>
      <c r="D71" s="175">
        <v>11</v>
      </c>
      <c r="E71" s="175">
        <v>11</v>
      </c>
      <c r="F71" s="176"/>
      <c r="G71" s="176"/>
      <c r="H71" s="176"/>
      <c r="I71" s="175">
        <v>11</v>
      </c>
      <c r="J71" s="176"/>
      <c r="K71" s="176"/>
      <c r="L71" s="761"/>
      <c r="M71" s="26"/>
      <c r="N71" s="175">
        <v>0.89</v>
      </c>
      <c r="O71" s="175">
        <v>0.89</v>
      </c>
      <c r="P71" s="175">
        <v>0.89</v>
      </c>
      <c r="Q71" s="175">
        <v>0.89</v>
      </c>
      <c r="R71" s="176"/>
      <c r="S71" s="176"/>
      <c r="T71" s="176"/>
      <c r="U71" s="175">
        <v>0.89</v>
      </c>
      <c r="V71" s="176"/>
      <c r="W71" s="176"/>
      <c r="X71" s="176"/>
      <c r="Y71" s="26"/>
      <c r="Z71" s="175">
        <v>11</v>
      </c>
      <c r="AA71" s="175">
        <v>11</v>
      </c>
      <c r="AB71" s="175">
        <v>11</v>
      </c>
      <c r="AC71" s="175">
        <v>11</v>
      </c>
      <c r="AD71" s="176"/>
      <c r="AE71" s="176"/>
      <c r="AF71" s="176"/>
      <c r="AG71" s="175">
        <v>11</v>
      </c>
      <c r="AH71" s="176"/>
      <c r="AI71" s="176"/>
      <c r="AJ71" s="761"/>
      <c r="AK71" s="1192"/>
      <c r="AL71" s="282"/>
      <c r="AM71" s="282"/>
      <c r="AN71" s="282"/>
      <c r="AO71" s="282"/>
      <c r="AP71" s="282"/>
      <c r="AQ71" s="282"/>
      <c r="AR71" s="282"/>
      <c r="AS71" s="282"/>
      <c r="AT71" s="1186"/>
      <c r="AW71" s="1194"/>
      <c r="AX71" s="282"/>
      <c r="AY71" s="282"/>
      <c r="AZ71" s="282"/>
      <c r="BA71" s="282"/>
      <c r="BB71" s="282"/>
      <c r="BC71" s="1195" t="s">
        <v>295</v>
      </c>
      <c r="BD71" s="1196">
        <v>25</v>
      </c>
      <c r="BE71" s="1197" t="s">
        <v>296</v>
      </c>
      <c r="BF71" s="282"/>
      <c r="BG71" s="282"/>
      <c r="BH71" s="282"/>
      <c r="BI71" s="282"/>
      <c r="BJ71" s="282"/>
      <c r="BK71" s="282"/>
      <c r="BL71" s="282"/>
      <c r="BM71" s="282"/>
      <c r="BN71" s="1186"/>
    </row>
    <row r="72" spans="1:66" ht="15.75">
      <c r="A72" s="706" t="s">
        <v>232</v>
      </c>
      <c r="B72" s="175">
        <v>8.9</v>
      </c>
      <c r="C72" s="175">
        <v>8.9</v>
      </c>
      <c r="D72" s="175">
        <v>8.9</v>
      </c>
      <c r="E72" s="175">
        <v>8.9</v>
      </c>
      <c r="F72" s="176"/>
      <c r="G72" s="176"/>
      <c r="H72" s="176"/>
      <c r="I72" s="175">
        <v>8.9</v>
      </c>
      <c r="J72" s="176"/>
      <c r="K72" s="176"/>
      <c r="L72" s="761"/>
      <c r="M72" s="26"/>
      <c r="N72" s="175">
        <v>0.89</v>
      </c>
      <c r="O72" s="175">
        <v>0.89</v>
      </c>
      <c r="P72" s="175">
        <v>0.89</v>
      </c>
      <c r="Q72" s="175">
        <v>0.89</v>
      </c>
      <c r="R72" s="176"/>
      <c r="S72" s="176"/>
      <c r="T72" s="176"/>
      <c r="U72" s="175">
        <v>0.89</v>
      </c>
      <c r="V72" s="176"/>
      <c r="W72" s="176"/>
      <c r="X72" s="176"/>
      <c r="Y72" s="26"/>
      <c r="Z72" s="175">
        <v>8.9</v>
      </c>
      <c r="AA72" s="175">
        <v>8.9</v>
      </c>
      <c r="AB72" s="175">
        <v>8.9</v>
      </c>
      <c r="AC72" s="175">
        <v>8.9</v>
      </c>
      <c r="AD72" s="176"/>
      <c r="AE72" s="176"/>
      <c r="AF72" s="176"/>
      <c r="AG72" s="175">
        <v>8.9</v>
      </c>
      <c r="AH72" s="176"/>
      <c r="AI72" s="176"/>
      <c r="AJ72" s="761"/>
      <c r="AK72" s="1192"/>
      <c r="AL72" s="282"/>
      <c r="AM72" s="282"/>
      <c r="AN72" s="282"/>
      <c r="AO72" s="282"/>
      <c r="AP72" s="282"/>
      <c r="AQ72" s="282"/>
      <c r="AR72" s="282"/>
      <c r="AS72" s="282"/>
      <c r="AT72" s="1186"/>
      <c r="AW72" s="1194"/>
      <c r="AX72" s="282"/>
      <c r="AY72" s="282"/>
      <c r="AZ72" s="282"/>
      <c r="BA72" s="282"/>
      <c r="BB72" s="282"/>
      <c r="BC72" s="1195" t="s">
        <v>297</v>
      </c>
      <c r="BD72" s="1196">
        <v>15</v>
      </c>
      <c r="BE72" s="1197" t="s">
        <v>298</v>
      </c>
      <c r="BF72" s="282"/>
      <c r="BG72" s="282"/>
      <c r="BH72" s="282"/>
      <c r="BI72" s="282"/>
      <c r="BJ72" s="282"/>
      <c r="BK72" s="282"/>
      <c r="BL72" s="282"/>
      <c r="BM72" s="282"/>
      <c r="BN72" s="1186"/>
    </row>
    <row r="73" spans="1:66" ht="15.75">
      <c r="A73" s="168" t="s">
        <v>16</v>
      </c>
      <c r="B73" s="175">
        <v>15</v>
      </c>
      <c r="C73" s="175">
        <v>15</v>
      </c>
      <c r="D73" s="175">
        <v>15</v>
      </c>
      <c r="E73" s="175">
        <v>15</v>
      </c>
      <c r="F73" s="176"/>
      <c r="G73" s="176"/>
      <c r="H73" s="176"/>
      <c r="I73" s="175">
        <v>15</v>
      </c>
      <c r="J73" s="176"/>
      <c r="K73" s="176"/>
      <c r="L73" s="761"/>
      <c r="M73" s="26"/>
      <c r="N73" s="175">
        <v>0.89</v>
      </c>
      <c r="O73" s="175">
        <v>0.89</v>
      </c>
      <c r="P73" s="175">
        <v>0.89</v>
      </c>
      <c r="Q73" s="175">
        <v>0.89</v>
      </c>
      <c r="R73" s="176"/>
      <c r="S73" s="176"/>
      <c r="T73" s="176"/>
      <c r="U73" s="175">
        <v>0.89</v>
      </c>
      <c r="V73" s="176"/>
      <c r="W73" s="176"/>
      <c r="X73" s="176"/>
      <c r="Y73" s="26"/>
      <c r="Z73" s="175">
        <v>15</v>
      </c>
      <c r="AA73" s="175">
        <v>15</v>
      </c>
      <c r="AB73" s="175">
        <v>15</v>
      </c>
      <c r="AC73" s="175">
        <v>15</v>
      </c>
      <c r="AD73" s="176"/>
      <c r="AE73" s="176"/>
      <c r="AF73" s="176"/>
      <c r="AG73" s="175">
        <v>15</v>
      </c>
      <c r="AH73" s="176"/>
      <c r="AI73" s="176"/>
      <c r="AJ73" s="761"/>
      <c r="AK73" s="1192"/>
      <c r="AL73" s="282"/>
      <c r="AM73" s="282"/>
      <c r="AN73" s="282"/>
      <c r="AO73" s="282"/>
      <c r="AP73" s="282"/>
      <c r="AQ73" s="282"/>
      <c r="AR73" s="282"/>
      <c r="AS73" s="282"/>
      <c r="AT73" s="1186"/>
      <c r="AW73" s="1194"/>
      <c r="AX73" s="282"/>
      <c r="AY73" s="282"/>
      <c r="AZ73" s="282"/>
      <c r="BA73" s="282"/>
      <c r="BB73" s="282"/>
      <c r="BC73" s="1195" t="s">
        <v>324</v>
      </c>
      <c r="BD73" s="1196">
        <v>0.6</v>
      </c>
      <c r="BE73" s="1197" t="s">
        <v>118</v>
      </c>
      <c r="BF73" s="282"/>
      <c r="BG73" s="282"/>
      <c r="BH73" s="282"/>
      <c r="BI73" s="282"/>
      <c r="BJ73" s="282"/>
      <c r="BK73" s="282"/>
      <c r="BL73" s="282"/>
      <c r="BM73" s="282"/>
      <c r="BN73" s="1186"/>
    </row>
    <row r="74" spans="1:66" ht="16.5">
      <c r="A74" s="519" t="s">
        <v>233</v>
      </c>
      <c r="B74" s="175">
        <v>8.9</v>
      </c>
      <c r="C74" s="175">
        <v>8.9</v>
      </c>
      <c r="D74" s="175">
        <v>8.9</v>
      </c>
      <c r="E74" s="175">
        <v>8.9</v>
      </c>
      <c r="F74" s="176"/>
      <c r="G74" s="176"/>
      <c r="H74" s="176"/>
      <c r="I74" s="175">
        <v>8.9</v>
      </c>
      <c r="J74" s="176"/>
      <c r="K74" s="176"/>
      <c r="L74" s="761"/>
      <c r="M74" s="26"/>
      <c r="N74" s="175">
        <v>0.89</v>
      </c>
      <c r="O74" s="175">
        <v>0.89</v>
      </c>
      <c r="P74" s="175">
        <v>0.89</v>
      </c>
      <c r="Q74" s="175">
        <v>0.89</v>
      </c>
      <c r="R74" s="176"/>
      <c r="S74" s="176"/>
      <c r="T74" s="176"/>
      <c r="U74" s="175">
        <v>0.89</v>
      </c>
      <c r="V74" s="176"/>
      <c r="W74" s="176"/>
      <c r="X74" s="176"/>
      <c r="Y74" s="26"/>
      <c r="Z74" s="175">
        <v>8.9</v>
      </c>
      <c r="AA74" s="175">
        <v>8.9</v>
      </c>
      <c r="AB74" s="175">
        <v>8.9</v>
      </c>
      <c r="AC74" s="175">
        <v>8.9</v>
      </c>
      <c r="AD74" s="176"/>
      <c r="AE74" s="176"/>
      <c r="AF74" s="176"/>
      <c r="AG74" s="175">
        <v>8.9</v>
      </c>
      <c r="AH74" s="176"/>
      <c r="AI74" s="176"/>
      <c r="AJ74" s="761"/>
      <c r="AK74" s="1192"/>
      <c r="AL74" s="282"/>
      <c r="AM74" s="282"/>
      <c r="AN74" s="282"/>
      <c r="AO74" s="282"/>
      <c r="AP74" s="282"/>
      <c r="AQ74" s="282"/>
      <c r="AR74" s="282"/>
      <c r="AS74" s="282"/>
      <c r="AT74" s="1186"/>
      <c r="AW74" s="1194"/>
      <c r="AX74" s="282"/>
      <c r="AY74" s="282"/>
      <c r="AZ74" s="282"/>
      <c r="BA74" s="282"/>
      <c r="BB74" s="282"/>
      <c r="BC74" s="1195" t="s">
        <v>323</v>
      </c>
      <c r="BD74" s="1198">
        <f>BD72*BD73*60*24*365.25/1000</f>
        <v>4733.64</v>
      </c>
      <c r="BE74" s="1197" t="s">
        <v>299</v>
      </c>
      <c r="BF74" s="282"/>
      <c r="BG74" s="282"/>
      <c r="BH74" s="282"/>
      <c r="BI74" s="282"/>
      <c r="BJ74" s="282"/>
      <c r="BK74" s="282"/>
      <c r="BL74" s="282"/>
      <c r="BM74" s="282"/>
      <c r="BN74" s="1186"/>
    </row>
    <row r="75" spans="1:66" ht="15.75">
      <c r="A75" s="520" t="s">
        <v>231</v>
      </c>
      <c r="B75" s="175">
        <v>6.8</v>
      </c>
      <c r="C75" s="175">
        <v>6.8</v>
      </c>
      <c r="D75" s="175">
        <v>6.8</v>
      </c>
      <c r="E75" s="175">
        <v>6.8</v>
      </c>
      <c r="F75" s="176"/>
      <c r="G75" s="176"/>
      <c r="H75" s="176"/>
      <c r="I75" s="175">
        <v>6.8</v>
      </c>
      <c r="J75" s="176"/>
      <c r="K75" s="176"/>
      <c r="L75" s="761"/>
      <c r="M75" s="26"/>
      <c r="N75" s="175">
        <v>0.89</v>
      </c>
      <c r="O75" s="175">
        <v>0.89</v>
      </c>
      <c r="P75" s="175">
        <v>0.89</v>
      </c>
      <c r="Q75" s="175">
        <v>0.89</v>
      </c>
      <c r="R75" s="176"/>
      <c r="S75" s="176"/>
      <c r="T75" s="176"/>
      <c r="U75" s="175">
        <v>0.89</v>
      </c>
      <c r="V75" s="176"/>
      <c r="W75" s="176"/>
      <c r="X75" s="176"/>
      <c r="Y75" s="26"/>
      <c r="Z75" s="175">
        <v>6.8</v>
      </c>
      <c r="AA75" s="175">
        <v>6.8</v>
      </c>
      <c r="AB75" s="175">
        <v>6.8</v>
      </c>
      <c r="AC75" s="175">
        <v>6.8</v>
      </c>
      <c r="AD75" s="176"/>
      <c r="AE75" s="176"/>
      <c r="AF75" s="176"/>
      <c r="AG75" s="175">
        <v>6.8</v>
      </c>
      <c r="AH75" s="176"/>
      <c r="AI75" s="176"/>
      <c r="AJ75" s="761"/>
      <c r="AK75" s="1192"/>
      <c r="AL75" s="282"/>
      <c r="AM75" s="282"/>
      <c r="AN75" s="282"/>
      <c r="AO75" s="282"/>
      <c r="AP75" s="282"/>
      <c r="AQ75" s="282"/>
      <c r="AR75" s="282"/>
      <c r="AS75" s="282"/>
      <c r="AT75" s="1186"/>
      <c r="AW75" s="1194"/>
      <c r="AX75" s="282"/>
      <c r="AY75" s="282"/>
      <c r="AZ75" s="282"/>
      <c r="BA75" s="282"/>
      <c r="BB75" s="282"/>
      <c r="BC75" s="1195" t="s">
        <v>300</v>
      </c>
      <c r="BD75" s="1199">
        <f>(BD71/1000000)*BD74</f>
        <v>0.11834100000000002</v>
      </c>
      <c r="BE75" s="1197" t="s">
        <v>301</v>
      </c>
      <c r="BF75" s="282"/>
      <c r="BG75" s="282"/>
      <c r="BH75" s="282"/>
      <c r="BI75" s="282"/>
      <c r="BJ75" s="282"/>
      <c r="BK75" s="282"/>
      <c r="BL75" s="282"/>
      <c r="BM75" s="282"/>
      <c r="BN75" s="1186"/>
    </row>
    <row r="76" spans="1:66" ht="15.75">
      <c r="A76" s="168" t="s">
        <v>18</v>
      </c>
      <c r="B76" s="175">
        <v>8.9</v>
      </c>
      <c r="C76" s="175">
        <v>8.9</v>
      </c>
      <c r="D76" s="175">
        <v>8.9</v>
      </c>
      <c r="E76" s="175">
        <v>8.9</v>
      </c>
      <c r="F76" s="176"/>
      <c r="G76" s="176"/>
      <c r="H76" s="176"/>
      <c r="I76" s="175">
        <v>8.9</v>
      </c>
      <c r="J76" s="176"/>
      <c r="K76" s="176"/>
      <c r="L76" s="761"/>
      <c r="M76" s="26"/>
      <c r="N76" s="175">
        <v>0.89</v>
      </c>
      <c r="O76" s="175">
        <v>0.89</v>
      </c>
      <c r="P76" s="175">
        <v>0.89</v>
      </c>
      <c r="Q76" s="175">
        <v>0.89</v>
      </c>
      <c r="R76" s="176"/>
      <c r="S76" s="176"/>
      <c r="T76" s="176"/>
      <c r="U76" s="175">
        <v>0.89</v>
      </c>
      <c r="V76" s="176"/>
      <c r="W76" s="176"/>
      <c r="X76" s="176"/>
      <c r="Y76" s="26"/>
      <c r="Z76" s="175">
        <v>8.9</v>
      </c>
      <c r="AA76" s="175">
        <v>8.9</v>
      </c>
      <c r="AB76" s="175">
        <v>8.9</v>
      </c>
      <c r="AC76" s="175">
        <v>8.9</v>
      </c>
      <c r="AD76" s="176"/>
      <c r="AE76" s="176"/>
      <c r="AF76" s="176"/>
      <c r="AG76" s="175">
        <v>8.9</v>
      </c>
      <c r="AH76" s="176"/>
      <c r="AI76" s="176"/>
      <c r="AJ76" s="761"/>
      <c r="AK76" s="1136"/>
      <c r="AL76" s="91"/>
      <c r="AM76" s="91"/>
      <c r="AN76" s="91"/>
      <c r="AO76" s="91"/>
      <c r="AP76" s="91"/>
      <c r="AQ76" s="91"/>
      <c r="AR76" s="91"/>
      <c r="AS76" s="91"/>
      <c r="AT76" s="1133"/>
      <c r="AU76" s="739"/>
      <c r="AV76" s="740"/>
      <c r="AW76" s="1200"/>
      <c r="AX76" s="282"/>
      <c r="AY76" s="282"/>
      <c r="AZ76" s="282"/>
      <c r="BA76" s="282"/>
      <c r="BB76" s="282"/>
      <c r="BC76" s="1195" t="s">
        <v>302</v>
      </c>
      <c r="BD76" s="1196">
        <v>515000000</v>
      </c>
      <c r="BE76" s="1197"/>
      <c r="BF76" s="282"/>
      <c r="BG76" s="282"/>
      <c r="BH76" s="282"/>
      <c r="BI76" s="282"/>
      <c r="BJ76" s="282"/>
      <c r="BK76" s="282"/>
      <c r="BL76" s="282"/>
      <c r="BM76" s="282"/>
      <c r="BN76" s="1186"/>
    </row>
    <row r="77" spans="1:66" ht="15.75">
      <c r="A77" s="706" t="s">
        <v>234</v>
      </c>
      <c r="B77" s="175">
        <v>6.8</v>
      </c>
      <c r="C77" s="175">
        <v>6.8</v>
      </c>
      <c r="D77" s="175">
        <v>6.8</v>
      </c>
      <c r="E77" s="175">
        <v>6.8</v>
      </c>
      <c r="F77" s="176"/>
      <c r="G77" s="176"/>
      <c r="H77" s="176"/>
      <c r="I77" s="175">
        <v>6.8</v>
      </c>
      <c r="J77" s="176"/>
      <c r="K77" s="176"/>
      <c r="L77" s="761"/>
      <c r="M77" s="26"/>
      <c r="N77" s="175">
        <v>0.89</v>
      </c>
      <c r="O77" s="175">
        <v>0.89</v>
      </c>
      <c r="P77" s="175">
        <v>0.89</v>
      </c>
      <c r="Q77" s="175">
        <v>0.89</v>
      </c>
      <c r="R77" s="176"/>
      <c r="S77" s="176"/>
      <c r="T77" s="176"/>
      <c r="U77" s="175">
        <v>0.89</v>
      </c>
      <c r="V77" s="176"/>
      <c r="W77" s="176"/>
      <c r="X77" s="176"/>
      <c r="Y77" s="26"/>
      <c r="Z77" s="175">
        <v>6.8</v>
      </c>
      <c r="AA77" s="175">
        <v>6.8</v>
      </c>
      <c r="AB77" s="175">
        <v>6.8</v>
      </c>
      <c r="AC77" s="175">
        <v>6.8</v>
      </c>
      <c r="AD77" s="176"/>
      <c r="AE77" s="176"/>
      <c r="AF77" s="176"/>
      <c r="AG77" s="175">
        <v>6.8</v>
      </c>
      <c r="AH77" s="176"/>
      <c r="AI77" s="176"/>
      <c r="AJ77" s="761"/>
      <c r="AK77" s="1136"/>
      <c r="AL77" s="282"/>
      <c r="AM77" s="282"/>
      <c r="AN77" s="282"/>
      <c r="AO77" s="282"/>
      <c r="AP77" s="282"/>
      <c r="AQ77" s="282"/>
      <c r="AR77" s="282"/>
      <c r="AS77" s="282"/>
      <c r="AT77" s="1186"/>
      <c r="AU77" s="739"/>
      <c r="AV77" s="740"/>
      <c r="AW77" s="1200"/>
      <c r="AX77" s="282"/>
      <c r="AY77" s="282"/>
      <c r="AZ77" s="282"/>
      <c r="BA77" s="282"/>
      <c r="BB77" s="282"/>
      <c r="BC77" s="1195" t="s">
        <v>303</v>
      </c>
      <c r="BD77" s="1201">
        <f>BD75*BD76</f>
        <v>60945615.00000001</v>
      </c>
      <c r="BE77" s="1197" t="s">
        <v>301</v>
      </c>
      <c r="BF77" s="282"/>
      <c r="BG77" s="282"/>
      <c r="BH77" s="282"/>
      <c r="BI77" s="282"/>
      <c r="BJ77" s="282"/>
      <c r="BK77" s="282"/>
      <c r="BL77" s="282"/>
      <c r="BM77" s="282"/>
      <c r="BN77" s="1186"/>
    </row>
    <row r="78" spans="1:66" ht="15.75">
      <c r="A78" s="64" t="s">
        <v>20</v>
      </c>
      <c r="B78" s="176"/>
      <c r="C78" s="176"/>
      <c r="D78" s="176"/>
      <c r="E78" s="176"/>
      <c r="F78" s="176"/>
      <c r="G78" s="176"/>
      <c r="H78" s="176"/>
      <c r="I78" s="176"/>
      <c r="J78" s="176"/>
      <c r="K78" s="176"/>
      <c r="L78" s="761"/>
      <c r="M78" s="26"/>
      <c r="N78" s="176"/>
      <c r="O78" s="176"/>
      <c r="P78" s="176"/>
      <c r="Q78" s="176"/>
      <c r="R78" s="176"/>
      <c r="S78" s="176"/>
      <c r="T78" s="176"/>
      <c r="U78" s="176"/>
      <c r="V78" s="176"/>
      <c r="W78" s="176"/>
      <c r="X78" s="176"/>
      <c r="Y78" s="26"/>
      <c r="Z78" s="176"/>
      <c r="AA78" s="176"/>
      <c r="AB78" s="176"/>
      <c r="AC78" s="176"/>
      <c r="AD78" s="176"/>
      <c r="AE78" s="176"/>
      <c r="AF78" s="176"/>
      <c r="AG78" s="176"/>
      <c r="AH78" s="176"/>
      <c r="AI78" s="176"/>
      <c r="AJ78" s="761"/>
      <c r="AK78" s="1136"/>
      <c r="AL78" s="282"/>
      <c r="AM78" s="282"/>
      <c r="AN78" s="282"/>
      <c r="AO78" s="282"/>
      <c r="AP78" s="282"/>
      <c r="AQ78" s="282"/>
      <c r="AR78" s="282"/>
      <c r="AS78" s="282"/>
      <c r="AT78" s="1186"/>
      <c r="AU78" s="739"/>
      <c r="AV78" s="740"/>
      <c r="AW78" s="1200"/>
      <c r="AX78" s="282"/>
      <c r="AY78" s="282"/>
      <c r="AZ78" s="282"/>
      <c r="BA78" s="282"/>
      <c r="BB78" s="282"/>
      <c r="BC78" s="1195" t="s">
        <v>317</v>
      </c>
      <c r="BD78" s="1202">
        <v>1500000</v>
      </c>
      <c r="BE78" s="1197" t="s">
        <v>304</v>
      </c>
      <c r="BF78" s="282"/>
      <c r="BG78" s="282"/>
      <c r="BH78" s="282"/>
      <c r="BI78" s="282"/>
      <c r="BJ78" s="282"/>
      <c r="BK78" s="282"/>
      <c r="BL78" s="282"/>
      <c r="BM78" s="282"/>
      <c r="BN78" s="1186"/>
    </row>
    <row r="79" spans="1:66" ht="17.25" thickBot="1">
      <c r="A79" s="168"/>
      <c r="B79" s="176"/>
      <c r="C79" s="176"/>
      <c r="D79" s="176"/>
      <c r="E79" s="176"/>
      <c r="F79" s="176"/>
      <c r="G79" s="176"/>
      <c r="H79" s="176"/>
      <c r="I79" s="176"/>
      <c r="J79" s="176"/>
      <c r="K79" s="176"/>
      <c r="L79" s="761"/>
      <c r="M79" s="26"/>
      <c r="N79" s="176"/>
      <c r="O79" s="176"/>
      <c r="P79" s="176"/>
      <c r="Q79" s="176"/>
      <c r="R79" s="176"/>
      <c r="S79" s="176"/>
      <c r="T79" s="176"/>
      <c r="U79" s="176"/>
      <c r="V79" s="176"/>
      <c r="W79" s="176"/>
      <c r="X79" s="176"/>
      <c r="Y79" s="26"/>
      <c r="Z79" s="176"/>
      <c r="AA79" s="176"/>
      <c r="AB79" s="176"/>
      <c r="AC79" s="176"/>
      <c r="AD79" s="176"/>
      <c r="AE79" s="176"/>
      <c r="AF79" s="176"/>
      <c r="AG79" s="176"/>
      <c r="AH79" s="176"/>
      <c r="AI79" s="176"/>
      <c r="AJ79" s="761"/>
      <c r="AK79" s="1136"/>
      <c r="AL79" s="282"/>
      <c r="AM79" s="282"/>
      <c r="AN79" s="282"/>
      <c r="AO79" s="282"/>
      <c r="AP79" s="282"/>
      <c r="AQ79" s="282"/>
      <c r="AR79" s="282"/>
      <c r="AS79" s="282"/>
      <c r="AT79" s="1186"/>
      <c r="AU79" s="739"/>
      <c r="AV79" s="741"/>
      <c r="AW79" s="1200"/>
      <c r="AX79" s="282"/>
      <c r="AY79" s="282"/>
      <c r="AZ79" s="282"/>
      <c r="BA79" s="282"/>
      <c r="BB79" s="282"/>
      <c r="BC79" s="1195" t="s">
        <v>305</v>
      </c>
      <c r="BD79" s="1202">
        <f>BD78/BD77</f>
        <v>0.024612107040022483</v>
      </c>
      <c r="BE79" s="1197" t="s">
        <v>306</v>
      </c>
      <c r="BF79" s="282"/>
      <c r="BG79" s="282"/>
      <c r="BH79" s="282"/>
      <c r="BI79" s="282"/>
      <c r="BJ79" s="282"/>
      <c r="BK79" s="282"/>
      <c r="BL79" s="282"/>
      <c r="BM79" s="282"/>
      <c r="BN79" s="1186"/>
    </row>
    <row r="80" spans="1:66" ht="16.5" thickBot="1">
      <c r="A80" s="169" t="s">
        <v>21</v>
      </c>
      <c r="B80" s="176"/>
      <c r="C80" s="176"/>
      <c r="D80" s="176"/>
      <c r="E80" s="176"/>
      <c r="F80" s="176"/>
      <c r="G80" s="176"/>
      <c r="H80" s="176"/>
      <c r="I80" s="176"/>
      <c r="J80" s="176"/>
      <c r="K80" s="176"/>
      <c r="L80" s="761"/>
      <c r="M80" s="26"/>
      <c r="N80" s="176"/>
      <c r="O80" s="176"/>
      <c r="P80" s="176"/>
      <c r="Q80" s="176"/>
      <c r="R80" s="176"/>
      <c r="S80" s="176"/>
      <c r="T80" s="176"/>
      <c r="U80" s="176"/>
      <c r="V80" s="176"/>
      <c r="W80" s="176"/>
      <c r="X80" s="176"/>
      <c r="Y80" s="26"/>
      <c r="Z80" s="176"/>
      <c r="AA80" s="176"/>
      <c r="AB80" s="176"/>
      <c r="AC80" s="176"/>
      <c r="AD80" s="176"/>
      <c r="AE80" s="176"/>
      <c r="AF80" s="176"/>
      <c r="AG80" s="176"/>
      <c r="AH80" s="176"/>
      <c r="AI80" s="176"/>
      <c r="AJ80" s="761"/>
      <c r="AK80" s="1136"/>
      <c r="AL80" s="282"/>
      <c r="AM80" s="282"/>
      <c r="AN80" s="282"/>
      <c r="AO80" s="282"/>
      <c r="AP80" s="282"/>
      <c r="AQ80" s="282"/>
      <c r="AR80" s="282"/>
      <c r="AS80" s="282"/>
      <c r="AT80" s="1186"/>
      <c r="AU80" s="739"/>
      <c r="AV80" s="742"/>
      <c r="AW80" s="1200"/>
      <c r="AX80" s="282"/>
      <c r="AY80" s="282"/>
      <c r="AZ80" s="282"/>
      <c r="BA80" s="282"/>
      <c r="BB80" s="282"/>
      <c r="BC80" s="282"/>
      <c r="BD80" s="1203" t="s">
        <v>307</v>
      </c>
      <c r="BE80" s="1197"/>
      <c r="BF80" s="282"/>
      <c r="BG80" s="282"/>
      <c r="BH80" s="282"/>
      <c r="BI80" s="282"/>
      <c r="BJ80" s="282"/>
      <c r="BK80" s="282"/>
      <c r="BL80" s="282"/>
      <c r="BM80" s="282"/>
      <c r="BN80" s="1186"/>
    </row>
    <row r="81" spans="1:66" ht="15.75">
      <c r="A81" s="170" t="s">
        <v>22</v>
      </c>
      <c r="B81" s="176"/>
      <c r="C81" s="176"/>
      <c r="D81" s="176"/>
      <c r="E81" s="176"/>
      <c r="F81" s="176"/>
      <c r="G81" s="176"/>
      <c r="H81" s="176"/>
      <c r="I81" s="176"/>
      <c r="J81" s="176"/>
      <c r="K81" s="176"/>
      <c r="L81" s="761"/>
      <c r="M81" s="26"/>
      <c r="N81" s="176"/>
      <c r="O81" s="176"/>
      <c r="P81" s="176"/>
      <c r="Q81" s="176"/>
      <c r="R81" s="176"/>
      <c r="S81" s="176"/>
      <c r="T81" s="176"/>
      <c r="U81" s="176"/>
      <c r="V81" s="176"/>
      <c r="W81" s="176"/>
      <c r="X81" s="176"/>
      <c r="Y81" s="26"/>
      <c r="Z81" s="176"/>
      <c r="AA81" s="176"/>
      <c r="AB81" s="176"/>
      <c r="AC81" s="176"/>
      <c r="AD81" s="176"/>
      <c r="AE81" s="176"/>
      <c r="AF81" s="176"/>
      <c r="AG81" s="176"/>
      <c r="AH81" s="176"/>
      <c r="AI81" s="176"/>
      <c r="AJ81" s="761"/>
      <c r="AK81" s="1136"/>
      <c r="AL81" s="282"/>
      <c r="AM81" s="282"/>
      <c r="AN81" s="282"/>
      <c r="AO81" s="282"/>
      <c r="AP81" s="282"/>
      <c r="AQ81" s="282"/>
      <c r="AR81" s="282"/>
      <c r="AS81" s="282"/>
      <c r="AT81" s="1186"/>
      <c r="AU81" s="739"/>
      <c r="AV81" s="740"/>
      <c r="AW81" s="1200"/>
      <c r="AX81" s="282"/>
      <c r="AY81" s="282"/>
      <c r="AZ81" s="282"/>
      <c r="BA81" s="282"/>
      <c r="BB81" s="282"/>
      <c r="BC81" s="1195" t="s">
        <v>318</v>
      </c>
      <c r="BD81" s="1196">
        <v>1.04</v>
      </c>
      <c r="BE81" s="1197" t="s">
        <v>309</v>
      </c>
      <c r="BF81" s="282"/>
      <c r="BG81" s="282"/>
      <c r="BH81" s="282"/>
      <c r="BI81" s="282"/>
      <c r="BJ81" s="282"/>
      <c r="BK81" s="282"/>
      <c r="BL81" s="282"/>
      <c r="BM81" s="282"/>
      <c r="BN81" s="1186"/>
    </row>
    <row r="82" spans="1:66" ht="15.75">
      <c r="A82" s="168" t="s">
        <v>23</v>
      </c>
      <c r="B82" s="175">
        <v>6.8</v>
      </c>
      <c r="C82" s="175">
        <v>6.8</v>
      </c>
      <c r="D82" s="175">
        <v>6.8</v>
      </c>
      <c r="E82" s="175">
        <v>6.8</v>
      </c>
      <c r="F82" s="176"/>
      <c r="G82" s="176"/>
      <c r="H82" s="176"/>
      <c r="I82" s="175">
        <v>6.8</v>
      </c>
      <c r="J82" s="176"/>
      <c r="K82" s="176"/>
      <c r="L82" s="761"/>
      <c r="M82" s="26"/>
      <c r="N82" s="175">
        <v>0.89</v>
      </c>
      <c r="O82" s="175">
        <v>0.89</v>
      </c>
      <c r="P82" s="175">
        <v>0.89</v>
      </c>
      <c r="Q82" s="175">
        <v>0.89</v>
      </c>
      <c r="R82" s="176"/>
      <c r="S82" s="176"/>
      <c r="T82" s="176"/>
      <c r="U82" s="175">
        <v>0.89</v>
      </c>
      <c r="V82" s="176"/>
      <c r="W82" s="176"/>
      <c r="X82" s="176"/>
      <c r="Y82" s="26"/>
      <c r="Z82" s="175">
        <v>6.8</v>
      </c>
      <c r="AA82" s="175">
        <v>6.8</v>
      </c>
      <c r="AB82" s="175">
        <v>6.8</v>
      </c>
      <c r="AC82" s="175">
        <v>6.8</v>
      </c>
      <c r="AD82" s="176"/>
      <c r="AE82" s="176"/>
      <c r="AF82" s="176"/>
      <c r="AG82" s="175">
        <v>6.8</v>
      </c>
      <c r="AH82" s="176"/>
      <c r="AI82" s="176"/>
      <c r="AJ82" s="761"/>
      <c r="AK82" s="1136"/>
      <c r="AL82" s="282"/>
      <c r="AM82" s="282"/>
      <c r="AN82" s="282"/>
      <c r="AO82" s="282"/>
      <c r="AP82" s="282"/>
      <c r="AQ82" s="282"/>
      <c r="AR82" s="282"/>
      <c r="AS82" s="282"/>
      <c r="AT82" s="1186"/>
      <c r="AU82" s="739"/>
      <c r="AV82" s="538"/>
      <c r="AW82" s="1200"/>
      <c r="AX82" s="282"/>
      <c r="AY82" s="282"/>
      <c r="AZ82" s="282"/>
      <c r="BA82" s="282"/>
      <c r="BB82" s="282"/>
      <c r="BC82" s="1195" t="s">
        <v>308</v>
      </c>
      <c r="BD82" s="1196">
        <v>1.14</v>
      </c>
      <c r="BE82" s="1197" t="s">
        <v>309</v>
      </c>
      <c r="BF82" s="282"/>
      <c r="BG82" s="282"/>
      <c r="BH82" s="282"/>
      <c r="BI82" s="282"/>
      <c r="BJ82" s="282"/>
      <c r="BK82" s="282"/>
      <c r="BL82" s="282"/>
      <c r="BM82" s="282"/>
      <c r="BN82" s="1186"/>
    </row>
    <row r="83" spans="1:66" ht="15.75">
      <c r="A83" s="168" t="s">
        <v>24</v>
      </c>
      <c r="B83" s="175">
        <v>6.8</v>
      </c>
      <c r="C83" s="175">
        <v>6.8</v>
      </c>
      <c r="D83" s="175">
        <v>6.8</v>
      </c>
      <c r="E83" s="175">
        <v>6.8</v>
      </c>
      <c r="F83" s="176"/>
      <c r="G83" s="176"/>
      <c r="H83" s="176"/>
      <c r="I83" s="175">
        <v>6.8</v>
      </c>
      <c r="J83" s="176"/>
      <c r="K83" s="176"/>
      <c r="L83" s="761"/>
      <c r="M83" s="26"/>
      <c r="N83" s="175">
        <v>0.89</v>
      </c>
      <c r="O83" s="175">
        <v>0.89</v>
      </c>
      <c r="P83" s="175">
        <v>0.89</v>
      </c>
      <c r="Q83" s="175">
        <v>0.89</v>
      </c>
      <c r="R83" s="176"/>
      <c r="S83" s="176"/>
      <c r="T83" s="176"/>
      <c r="U83" s="175">
        <v>0.89</v>
      </c>
      <c r="V83" s="176"/>
      <c r="W83" s="176"/>
      <c r="X83" s="176"/>
      <c r="Y83" s="26"/>
      <c r="Z83" s="175">
        <v>6.8</v>
      </c>
      <c r="AA83" s="175">
        <v>6.8</v>
      </c>
      <c r="AB83" s="175">
        <v>6.8</v>
      </c>
      <c r="AC83" s="175">
        <v>6.8</v>
      </c>
      <c r="AD83" s="176"/>
      <c r="AE83" s="176"/>
      <c r="AF83" s="176"/>
      <c r="AG83" s="175">
        <v>6.8</v>
      </c>
      <c r="AH83" s="176"/>
      <c r="AI83" s="176"/>
      <c r="AJ83" s="761"/>
      <c r="AK83" s="1136"/>
      <c r="AL83" s="282"/>
      <c r="AM83" s="282"/>
      <c r="AN83" s="282"/>
      <c r="AO83" s="282"/>
      <c r="AP83" s="282"/>
      <c r="AQ83" s="282"/>
      <c r="AR83" s="282"/>
      <c r="AS83" s="282"/>
      <c r="AT83" s="1186"/>
      <c r="AU83" s="739"/>
      <c r="AV83" s="743"/>
      <c r="AW83" s="1200"/>
      <c r="AX83" s="282"/>
      <c r="AY83" s="282"/>
      <c r="AZ83" s="282"/>
      <c r="BA83" s="282"/>
      <c r="BB83" s="282"/>
      <c r="BC83" s="1195" t="s">
        <v>310</v>
      </c>
      <c r="BD83" s="1196">
        <v>1.09</v>
      </c>
      <c r="BE83" s="1197" t="s">
        <v>309</v>
      </c>
      <c r="BF83" s="282"/>
      <c r="BG83" s="282"/>
      <c r="BH83" s="282"/>
      <c r="BI83" s="282"/>
      <c r="BJ83" s="282"/>
      <c r="BK83" s="282"/>
      <c r="BL83" s="282"/>
      <c r="BM83" s="282"/>
      <c r="BN83" s="1186"/>
    </row>
    <row r="84" spans="1:66" ht="15.75">
      <c r="A84" s="168" t="s">
        <v>25</v>
      </c>
      <c r="B84" s="175">
        <v>6.8</v>
      </c>
      <c r="C84" s="175">
        <v>6.8</v>
      </c>
      <c r="D84" s="175">
        <v>6.8</v>
      </c>
      <c r="E84" s="175">
        <v>6.8</v>
      </c>
      <c r="F84" s="176"/>
      <c r="G84" s="176"/>
      <c r="H84" s="176"/>
      <c r="I84" s="175">
        <v>6.8</v>
      </c>
      <c r="J84" s="176"/>
      <c r="K84" s="176"/>
      <c r="L84" s="761"/>
      <c r="M84" s="26"/>
      <c r="N84" s="175">
        <v>0.89</v>
      </c>
      <c r="O84" s="175">
        <v>0.89</v>
      </c>
      <c r="P84" s="175">
        <v>0.89</v>
      </c>
      <c r="Q84" s="175">
        <v>0.89</v>
      </c>
      <c r="R84" s="176"/>
      <c r="S84" s="176"/>
      <c r="T84" s="176"/>
      <c r="U84" s="175">
        <v>0.89</v>
      </c>
      <c r="V84" s="176"/>
      <c r="W84" s="176"/>
      <c r="X84" s="176"/>
      <c r="Y84" s="26"/>
      <c r="Z84" s="175">
        <v>6.8</v>
      </c>
      <c r="AA84" s="175">
        <v>6.8</v>
      </c>
      <c r="AB84" s="175">
        <v>6.8</v>
      </c>
      <c r="AC84" s="175">
        <v>6.8</v>
      </c>
      <c r="AD84" s="176"/>
      <c r="AE84" s="176"/>
      <c r="AF84" s="176"/>
      <c r="AG84" s="175">
        <v>6.8</v>
      </c>
      <c r="AH84" s="176"/>
      <c r="AI84" s="176"/>
      <c r="AJ84" s="761"/>
      <c r="AK84" s="1136"/>
      <c r="AL84" s="282"/>
      <c r="AM84" s="282"/>
      <c r="AN84" s="282"/>
      <c r="AO84" s="282"/>
      <c r="AP84" s="282"/>
      <c r="AQ84" s="282"/>
      <c r="AR84" s="282"/>
      <c r="AS84" s="282"/>
      <c r="AT84" s="1186"/>
      <c r="AU84" s="739"/>
      <c r="AV84" s="743"/>
      <c r="AW84" s="1200"/>
      <c r="AX84" s="282"/>
      <c r="AY84" s="282"/>
      <c r="AZ84" s="282"/>
      <c r="BA84" s="282"/>
      <c r="BB84" s="282"/>
      <c r="BC84" s="1195" t="s">
        <v>311</v>
      </c>
      <c r="BD84" s="1196"/>
      <c r="BE84" s="1197" t="s">
        <v>312</v>
      </c>
      <c r="BF84" s="282"/>
      <c r="BG84" s="282"/>
      <c r="BH84" s="282"/>
      <c r="BI84" s="282"/>
      <c r="BJ84" s="282"/>
      <c r="BK84" s="282"/>
      <c r="BL84" s="282"/>
      <c r="BM84" s="282"/>
      <c r="BN84" s="1186"/>
    </row>
    <row r="85" spans="1:66" ht="15.75">
      <c r="A85" s="168" t="s">
        <v>26</v>
      </c>
      <c r="B85" s="175">
        <v>6.8</v>
      </c>
      <c r="C85" s="175">
        <v>6.8</v>
      </c>
      <c r="D85" s="175">
        <v>6.8</v>
      </c>
      <c r="E85" s="175">
        <v>6.8</v>
      </c>
      <c r="F85" s="176"/>
      <c r="G85" s="176"/>
      <c r="H85" s="176"/>
      <c r="I85" s="175">
        <v>6.8</v>
      </c>
      <c r="J85" s="176"/>
      <c r="K85" s="176"/>
      <c r="L85" s="761"/>
      <c r="M85" s="26"/>
      <c r="N85" s="175">
        <v>0.89</v>
      </c>
      <c r="O85" s="175">
        <v>0.89</v>
      </c>
      <c r="P85" s="175">
        <v>0.89</v>
      </c>
      <c r="Q85" s="175">
        <v>0.89</v>
      </c>
      <c r="R85" s="176"/>
      <c r="S85" s="176"/>
      <c r="T85" s="176"/>
      <c r="U85" s="175">
        <v>0.89</v>
      </c>
      <c r="V85" s="176"/>
      <c r="W85" s="176"/>
      <c r="X85" s="176"/>
      <c r="Y85" s="26"/>
      <c r="Z85" s="175">
        <v>6.8</v>
      </c>
      <c r="AA85" s="175">
        <v>6.8</v>
      </c>
      <c r="AB85" s="175">
        <v>6.8</v>
      </c>
      <c r="AC85" s="175">
        <v>6.8</v>
      </c>
      <c r="AD85" s="176"/>
      <c r="AE85" s="176"/>
      <c r="AF85" s="176"/>
      <c r="AG85" s="175">
        <v>6.8</v>
      </c>
      <c r="AH85" s="176"/>
      <c r="AI85" s="176"/>
      <c r="AJ85" s="761"/>
      <c r="AK85" s="1136"/>
      <c r="AL85" s="282"/>
      <c r="AM85" s="282"/>
      <c r="AN85" s="282"/>
      <c r="AO85" s="282"/>
      <c r="AP85" s="282"/>
      <c r="AQ85" s="282"/>
      <c r="AR85" s="282"/>
      <c r="AS85" s="282"/>
      <c r="AT85" s="1186"/>
      <c r="AV85" s="745"/>
      <c r="AW85" s="1200"/>
      <c r="AX85" s="282"/>
      <c r="AY85" s="282"/>
      <c r="AZ85" s="282"/>
      <c r="BA85" s="282"/>
      <c r="BB85" s="282"/>
      <c r="BC85" s="1195" t="s">
        <v>313</v>
      </c>
      <c r="BD85" s="1248">
        <f ca="1">INDIRECT("CVDLCDALYs!"&amp;"G"&amp;$B$152)</f>
        <v>371.0039398373433</v>
      </c>
      <c r="BE85" s="1197" t="s">
        <v>314</v>
      </c>
      <c r="BF85" s="282"/>
      <c r="BG85" s="282"/>
      <c r="BH85" s="282"/>
      <c r="BI85" s="282"/>
      <c r="BJ85" s="282"/>
      <c r="BK85" s="282"/>
      <c r="BL85" s="282"/>
      <c r="BM85" s="282"/>
      <c r="BN85" s="1186"/>
    </row>
    <row r="86" spans="1:66" ht="15.75">
      <c r="A86" s="168" t="s">
        <v>27</v>
      </c>
      <c r="B86" s="175">
        <v>8.9</v>
      </c>
      <c r="C86" s="175">
        <v>8.9</v>
      </c>
      <c r="D86" s="175">
        <v>8.9</v>
      </c>
      <c r="E86" s="175">
        <v>8.9</v>
      </c>
      <c r="F86" s="176"/>
      <c r="G86" s="176"/>
      <c r="H86" s="176"/>
      <c r="I86" s="175">
        <v>8.9</v>
      </c>
      <c r="J86" s="176"/>
      <c r="K86" s="176"/>
      <c r="L86" s="761"/>
      <c r="M86" s="26"/>
      <c r="N86" s="175">
        <v>0.89</v>
      </c>
      <c r="O86" s="175">
        <v>0.89</v>
      </c>
      <c r="P86" s="175">
        <v>0.89</v>
      </c>
      <c r="Q86" s="175">
        <v>0.89</v>
      </c>
      <c r="R86" s="176"/>
      <c r="S86" s="176"/>
      <c r="T86" s="176"/>
      <c r="U86" s="175">
        <v>0.89</v>
      </c>
      <c r="V86" s="176"/>
      <c r="W86" s="176"/>
      <c r="X86" s="176"/>
      <c r="Y86" s="26"/>
      <c r="Z86" s="175">
        <v>8.9</v>
      </c>
      <c r="AA86" s="175">
        <v>8.9</v>
      </c>
      <c r="AB86" s="175">
        <v>8.9</v>
      </c>
      <c r="AC86" s="175">
        <v>8.9</v>
      </c>
      <c r="AD86" s="176"/>
      <c r="AE86" s="176"/>
      <c r="AF86" s="176"/>
      <c r="AG86" s="175">
        <v>8.9</v>
      </c>
      <c r="AH86" s="176"/>
      <c r="AI86" s="176"/>
      <c r="AJ86" s="761"/>
      <c r="AK86" s="1136"/>
      <c r="AL86" s="282"/>
      <c r="AM86" s="282"/>
      <c r="AN86" s="282"/>
      <c r="AO86" s="282"/>
      <c r="AP86" s="282"/>
      <c r="AQ86" s="282"/>
      <c r="AR86" s="282"/>
      <c r="AS86" s="282"/>
      <c r="AT86" s="1186"/>
      <c r="AU86" s="739"/>
      <c r="AV86" s="740"/>
      <c r="AW86" s="1200"/>
      <c r="AX86" s="282"/>
      <c r="AY86" s="282"/>
      <c r="AZ86" s="282"/>
      <c r="BA86" s="282"/>
      <c r="BB86" s="282"/>
      <c r="BC86" s="1195" t="s">
        <v>315</v>
      </c>
      <c r="BD86" s="1248">
        <f ca="1">INDIRECT("CVDLCDALYs!"&amp;"H"&amp;$B$152)</f>
        <v>2250.431792960727</v>
      </c>
      <c r="BE86" s="1197" t="s">
        <v>314</v>
      </c>
      <c r="BF86" s="282"/>
      <c r="BG86" s="282"/>
      <c r="BH86" s="282"/>
      <c r="BI86" s="282"/>
      <c r="BJ86" s="282"/>
      <c r="BK86" s="282"/>
      <c r="BL86" s="282"/>
      <c r="BM86" s="282"/>
      <c r="BN86" s="1186"/>
    </row>
    <row r="87" spans="1:66" ht="15.75">
      <c r="A87" s="168" t="s">
        <v>28</v>
      </c>
      <c r="B87" s="175">
        <v>8.9</v>
      </c>
      <c r="C87" s="175">
        <v>8.9</v>
      </c>
      <c r="D87" s="175">
        <v>8.9</v>
      </c>
      <c r="E87" s="175">
        <v>8.9</v>
      </c>
      <c r="F87" s="176"/>
      <c r="G87" s="176"/>
      <c r="H87" s="176"/>
      <c r="I87" s="175">
        <v>8.9</v>
      </c>
      <c r="J87" s="176"/>
      <c r="K87" s="176"/>
      <c r="L87" s="761"/>
      <c r="M87" s="26"/>
      <c r="N87" s="175">
        <v>0.89</v>
      </c>
      <c r="O87" s="175">
        <v>0.89</v>
      </c>
      <c r="P87" s="175">
        <v>0.89</v>
      </c>
      <c r="Q87" s="175">
        <v>0.89</v>
      </c>
      <c r="R87" s="176"/>
      <c r="S87" s="176"/>
      <c r="T87" s="176"/>
      <c r="U87" s="175">
        <v>0.89</v>
      </c>
      <c r="V87" s="176"/>
      <c r="W87" s="176"/>
      <c r="X87" s="176"/>
      <c r="Y87" s="26"/>
      <c r="Z87" s="175">
        <v>8.9</v>
      </c>
      <c r="AA87" s="175">
        <v>8.9</v>
      </c>
      <c r="AB87" s="175">
        <v>8.9</v>
      </c>
      <c r="AC87" s="175">
        <v>8.9</v>
      </c>
      <c r="AD87" s="176"/>
      <c r="AE87" s="176"/>
      <c r="AF87" s="176"/>
      <c r="AG87" s="175">
        <v>8.9</v>
      </c>
      <c r="AH87" s="176"/>
      <c r="AI87" s="176"/>
      <c r="AJ87" s="761"/>
      <c r="AK87" s="1136"/>
      <c r="AL87" s="282"/>
      <c r="AM87" s="282"/>
      <c r="AN87" s="282"/>
      <c r="AO87" s="282"/>
      <c r="AP87" s="282"/>
      <c r="AQ87" s="282"/>
      <c r="AR87" s="282"/>
      <c r="AS87" s="282"/>
      <c r="AT87" s="1186"/>
      <c r="AU87" s="739"/>
      <c r="AV87" s="740"/>
      <c r="AW87" s="1200"/>
      <c r="AX87" s="282"/>
      <c r="AY87" s="282"/>
      <c r="AZ87" s="282"/>
      <c r="BA87" s="282"/>
      <c r="BB87" s="282"/>
      <c r="BC87" s="1195" t="s">
        <v>362</v>
      </c>
      <c r="BD87" s="1204">
        <f ca="1">(BD71/10)*BD85*(BD82-1)*BD76/100000</f>
        <v>668734.6015568109</v>
      </c>
      <c r="BE87" s="1197" t="s">
        <v>304</v>
      </c>
      <c r="BF87" s="282"/>
      <c r="BG87" s="282"/>
      <c r="BH87" s="282"/>
      <c r="BI87" s="282"/>
      <c r="BJ87" s="282"/>
      <c r="BK87" s="282"/>
      <c r="BL87" s="282"/>
      <c r="BM87" s="282"/>
      <c r="BN87" s="1186"/>
    </row>
    <row r="88" spans="1:66" ht="15.75">
      <c r="A88" s="168" t="s">
        <v>29</v>
      </c>
      <c r="B88" s="175">
        <v>3.8</v>
      </c>
      <c r="C88" s="175">
        <v>3.8</v>
      </c>
      <c r="D88" s="175">
        <v>3.8</v>
      </c>
      <c r="E88" s="175">
        <v>3.8</v>
      </c>
      <c r="F88" s="176"/>
      <c r="G88" s="176"/>
      <c r="H88" s="176"/>
      <c r="I88" s="175">
        <v>3.8</v>
      </c>
      <c r="J88" s="176"/>
      <c r="K88" s="176"/>
      <c r="L88" s="761"/>
      <c r="M88" s="26"/>
      <c r="N88" s="175">
        <v>0.89</v>
      </c>
      <c r="O88" s="175">
        <v>0.89</v>
      </c>
      <c r="P88" s="175">
        <v>0.89</v>
      </c>
      <c r="Q88" s="175">
        <v>0.89</v>
      </c>
      <c r="R88" s="176"/>
      <c r="S88" s="176"/>
      <c r="T88" s="176"/>
      <c r="U88" s="175">
        <v>0.89</v>
      </c>
      <c r="V88" s="176"/>
      <c r="W88" s="176"/>
      <c r="X88" s="176"/>
      <c r="Y88" s="26"/>
      <c r="Z88" s="175">
        <v>3.8</v>
      </c>
      <c r="AA88" s="175">
        <v>3.8</v>
      </c>
      <c r="AB88" s="175">
        <v>3.8</v>
      </c>
      <c r="AC88" s="175">
        <v>3.8</v>
      </c>
      <c r="AD88" s="176"/>
      <c r="AE88" s="176"/>
      <c r="AF88" s="176"/>
      <c r="AG88" s="175">
        <v>3.8</v>
      </c>
      <c r="AH88" s="176"/>
      <c r="AI88" s="176"/>
      <c r="AJ88" s="761"/>
      <c r="AK88" s="1136"/>
      <c r="AL88" s="282"/>
      <c r="AM88" s="282"/>
      <c r="AN88" s="282"/>
      <c r="AO88" s="282"/>
      <c r="AP88" s="282"/>
      <c r="AQ88" s="282"/>
      <c r="AR88" s="282"/>
      <c r="AS88" s="282"/>
      <c r="AT88" s="1186"/>
      <c r="AU88" s="739"/>
      <c r="AV88" s="740"/>
      <c r="AW88" s="1200"/>
      <c r="AX88" s="282"/>
      <c r="AY88" s="282"/>
      <c r="AZ88" s="282"/>
      <c r="BA88" s="282"/>
      <c r="BB88" s="282"/>
      <c r="BC88" s="1195" t="s">
        <v>363</v>
      </c>
      <c r="BD88" s="1202">
        <f ca="1">(BD71/10)*(BD86*(BD83-1))*BD76/100000</f>
        <v>2607687.840093245</v>
      </c>
      <c r="BE88" s="1197" t="s">
        <v>304</v>
      </c>
      <c r="BF88" s="282"/>
      <c r="BG88" s="282"/>
      <c r="BH88" s="282"/>
      <c r="BI88" s="282"/>
      <c r="BJ88" s="282"/>
      <c r="BK88" s="282"/>
      <c r="BL88" s="282"/>
      <c r="BM88" s="282"/>
      <c r="BN88" s="1186"/>
    </row>
    <row r="89" spans="1:66" ht="16.5" thickBot="1">
      <c r="A89" s="168" t="s">
        <v>30</v>
      </c>
      <c r="B89" s="175">
        <v>6.8</v>
      </c>
      <c r="C89" s="175">
        <v>6.8</v>
      </c>
      <c r="D89" s="175">
        <v>6.8</v>
      </c>
      <c r="E89" s="175">
        <v>6.8</v>
      </c>
      <c r="F89" s="176"/>
      <c r="G89" s="176"/>
      <c r="H89" s="176"/>
      <c r="I89" s="175">
        <v>6.8</v>
      </c>
      <c r="J89" s="176"/>
      <c r="K89" s="176"/>
      <c r="L89" s="761"/>
      <c r="M89" s="26"/>
      <c r="N89" s="175">
        <v>0.89</v>
      </c>
      <c r="O89" s="175">
        <v>0.89</v>
      </c>
      <c r="P89" s="175">
        <v>0.89</v>
      </c>
      <c r="Q89" s="175">
        <v>0.89</v>
      </c>
      <c r="R89" s="176"/>
      <c r="S89" s="176"/>
      <c r="T89" s="176"/>
      <c r="U89" s="175">
        <v>0.89</v>
      </c>
      <c r="V89" s="176"/>
      <c r="W89" s="176"/>
      <c r="X89" s="176"/>
      <c r="Y89" s="26"/>
      <c r="Z89" s="175">
        <v>6.8</v>
      </c>
      <c r="AA89" s="175">
        <v>6.8</v>
      </c>
      <c r="AB89" s="175">
        <v>6.8</v>
      </c>
      <c r="AC89" s="175">
        <v>6.8</v>
      </c>
      <c r="AD89" s="176"/>
      <c r="AE89" s="176"/>
      <c r="AF89" s="176"/>
      <c r="AG89" s="175">
        <v>6.8</v>
      </c>
      <c r="AH89" s="176"/>
      <c r="AI89" s="176"/>
      <c r="AJ89" s="761"/>
      <c r="AK89" s="1136"/>
      <c r="AL89" s="282"/>
      <c r="AM89" s="282"/>
      <c r="AN89" s="282"/>
      <c r="AO89" s="282"/>
      <c r="AP89" s="282"/>
      <c r="AQ89" s="282"/>
      <c r="AR89" s="282"/>
      <c r="AS89" s="282"/>
      <c r="AT89" s="1186"/>
      <c r="AU89" s="739"/>
      <c r="AV89" s="740"/>
      <c r="AW89" s="1205"/>
      <c r="AX89" s="1187"/>
      <c r="AY89" s="1187"/>
      <c r="AZ89" s="1187"/>
      <c r="BA89" s="1187"/>
      <c r="BB89" s="1187"/>
      <c r="BC89" s="1206" t="s">
        <v>316</v>
      </c>
      <c r="BD89" s="1207">
        <f ca="1">(BD87+BD88)/BD77</f>
        <v>0.05375977322814866</v>
      </c>
      <c r="BE89" s="1208" t="s">
        <v>306</v>
      </c>
      <c r="BF89" s="1187"/>
      <c r="BG89" s="1187"/>
      <c r="BH89" s="1187"/>
      <c r="BI89" s="1187"/>
      <c r="BJ89" s="1187"/>
      <c r="BK89" s="1187"/>
      <c r="BL89" s="1187"/>
      <c r="BM89" s="1187"/>
      <c r="BN89" s="1188"/>
    </row>
    <row r="90" spans="1:49" ht="15.75">
      <c r="A90" s="168" t="s">
        <v>31</v>
      </c>
      <c r="B90" s="175">
        <v>6.8</v>
      </c>
      <c r="C90" s="175">
        <v>6.8</v>
      </c>
      <c r="D90" s="175">
        <v>6.8</v>
      </c>
      <c r="E90" s="175">
        <v>6.8</v>
      </c>
      <c r="F90" s="176"/>
      <c r="G90" s="176"/>
      <c r="H90" s="176"/>
      <c r="I90" s="175">
        <v>6.8</v>
      </c>
      <c r="J90" s="176"/>
      <c r="K90" s="176"/>
      <c r="L90" s="761"/>
      <c r="M90" s="26"/>
      <c r="N90" s="175">
        <v>0.89</v>
      </c>
      <c r="O90" s="175">
        <v>0.89</v>
      </c>
      <c r="P90" s="175">
        <v>0.89</v>
      </c>
      <c r="Q90" s="175">
        <v>0.89</v>
      </c>
      <c r="R90" s="176"/>
      <c r="S90" s="176"/>
      <c r="T90" s="176"/>
      <c r="U90" s="175">
        <v>0.89</v>
      </c>
      <c r="V90" s="176"/>
      <c r="W90" s="176"/>
      <c r="X90" s="176"/>
      <c r="Y90" s="26"/>
      <c r="Z90" s="175">
        <v>6.8</v>
      </c>
      <c r="AA90" s="175">
        <v>6.8</v>
      </c>
      <c r="AB90" s="175">
        <v>6.8</v>
      </c>
      <c r="AC90" s="175">
        <v>6.8</v>
      </c>
      <c r="AD90" s="176"/>
      <c r="AE90" s="176"/>
      <c r="AF90" s="176"/>
      <c r="AG90" s="175">
        <v>6.8</v>
      </c>
      <c r="AH90" s="176"/>
      <c r="AI90" s="176"/>
      <c r="AJ90" s="761"/>
      <c r="AK90" s="1136"/>
      <c r="AL90" s="282"/>
      <c r="AM90" s="282"/>
      <c r="AN90" s="282"/>
      <c r="AO90" s="282"/>
      <c r="AP90" s="282"/>
      <c r="AQ90" s="282"/>
      <c r="AR90" s="282"/>
      <c r="AS90" s="282"/>
      <c r="AT90" s="1186"/>
      <c r="AU90" s="739"/>
      <c r="AV90" s="740"/>
      <c r="AW90" s="802"/>
    </row>
    <row r="91" spans="1:59" ht="16.5" thickBot="1">
      <c r="A91" s="168" t="s">
        <v>32</v>
      </c>
      <c r="B91" s="175">
        <v>8.9</v>
      </c>
      <c r="C91" s="175">
        <v>8.9</v>
      </c>
      <c r="D91" s="175">
        <v>8.9</v>
      </c>
      <c r="E91" s="175">
        <v>8.9</v>
      </c>
      <c r="F91" s="176"/>
      <c r="G91" s="176"/>
      <c r="H91" s="176"/>
      <c r="I91" s="175">
        <v>8.9</v>
      </c>
      <c r="J91" s="176"/>
      <c r="K91" s="176"/>
      <c r="L91" s="761"/>
      <c r="M91" s="26"/>
      <c r="N91" s="175">
        <v>0.89</v>
      </c>
      <c r="O91" s="175">
        <v>0.89</v>
      </c>
      <c r="P91" s="175">
        <v>0.89</v>
      </c>
      <c r="Q91" s="175">
        <v>0.89</v>
      </c>
      <c r="R91" s="176"/>
      <c r="S91" s="176"/>
      <c r="T91" s="176"/>
      <c r="U91" s="175">
        <v>0.89</v>
      </c>
      <c r="V91" s="176"/>
      <c r="W91" s="176"/>
      <c r="X91" s="176"/>
      <c r="Y91" s="26"/>
      <c r="Z91" s="175">
        <v>8.9</v>
      </c>
      <c r="AA91" s="175">
        <v>8.9</v>
      </c>
      <c r="AB91" s="175">
        <v>8.9</v>
      </c>
      <c r="AC91" s="175">
        <v>8.9</v>
      </c>
      <c r="AD91" s="176"/>
      <c r="AE91" s="176"/>
      <c r="AF91" s="176"/>
      <c r="AG91" s="175">
        <v>8.9</v>
      </c>
      <c r="AH91" s="176"/>
      <c r="AI91" s="176"/>
      <c r="AJ91" s="761"/>
      <c r="AK91" s="1136"/>
      <c r="AL91" s="282"/>
      <c r="AM91" s="282"/>
      <c r="AN91" s="282"/>
      <c r="AO91" s="282"/>
      <c r="AP91" s="282"/>
      <c r="AQ91" s="282"/>
      <c r="AR91" s="282"/>
      <c r="AS91" s="282"/>
      <c r="AT91" s="1186"/>
      <c r="AU91" s="739"/>
      <c r="AV91" s="740"/>
      <c r="AW91" s="802"/>
      <c r="AX91" s="91"/>
      <c r="AY91" s="91"/>
      <c r="AZ91" s="91"/>
      <c r="BA91" s="91"/>
      <c r="BB91" s="91"/>
      <c r="BC91" s="91"/>
      <c r="BD91" s="91"/>
      <c r="BE91" s="91"/>
      <c r="BF91" s="91"/>
      <c r="BG91" s="91"/>
    </row>
    <row r="92" spans="1:68" ht="15.75" customHeight="1">
      <c r="A92" s="168" t="s">
        <v>33</v>
      </c>
      <c r="B92" s="175">
        <v>44</v>
      </c>
      <c r="C92" s="175">
        <v>44</v>
      </c>
      <c r="D92" s="175">
        <v>44</v>
      </c>
      <c r="E92" s="175">
        <v>44</v>
      </c>
      <c r="F92" s="176"/>
      <c r="G92" s="176"/>
      <c r="H92" s="176"/>
      <c r="I92" s="175">
        <v>44</v>
      </c>
      <c r="J92" s="176"/>
      <c r="K92" s="176"/>
      <c r="L92" s="761"/>
      <c r="M92" s="26"/>
      <c r="N92" s="175">
        <v>0.89</v>
      </c>
      <c r="O92" s="175">
        <v>0.89</v>
      </c>
      <c r="P92" s="175">
        <v>0.89</v>
      </c>
      <c r="Q92" s="175">
        <v>0.89</v>
      </c>
      <c r="R92" s="176"/>
      <c r="S92" s="176"/>
      <c r="T92" s="176"/>
      <c r="U92" s="175">
        <v>0.89</v>
      </c>
      <c r="V92" s="176"/>
      <c r="W92" s="176"/>
      <c r="X92" s="176"/>
      <c r="Y92" s="26"/>
      <c r="Z92" s="175">
        <v>44</v>
      </c>
      <c r="AA92" s="175">
        <v>44</v>
      </c>
      <c r="AB92" s="175">
        <v>44</v>
      </c>
      <c r="AC92" s="175">
        <v>44</v>
      </c>
      <c r="AD92" s="176"/>
      <c r="AE92" s="176"/>
      <c r="AF92" s="176"/>
      <c r="AG92" s="175">
        <v>44</v>
      </c>
      <c r="AH92" s="176"/>
      <c r="AI92" s="176"/>
      <c r="AJ92" s="761"/>
      <c r="AK92" s="1136"/>
      <c r="AL92" s="282"/>
      <c r="AM92" s="282"/>
      <c r="AN92" s="282"/>
      <c r="AO92" s="282"/>
      <c r="AP92" s="282"/>
      <c r="AQ92" s="282"/>
      <c r="AR92" s="282"/>
      <c r="AS92" s="282"/>
      <c r="AT92" s="1186"/>
      <c r="AU92" s="739"/>
      <c r="AV92" s="744"/>
      <c r="AW92" s="1189"/>
      <c r="AX92" s="1190"/>
      <c r="AY92" s="1223"/>
      <c r="AZ92" s="1223"/>
      <c r="BA92" s="1223"/>
      <c r="BB92" s="1458" t="s">
        <v>372</v>
      </c>
      <c r="BC92" s="1460" t="s">
        <v>383</v>
      </c>
      <c r="BD92" s="1223"/>
      <c r="BE92" s="1223"/>
      <c r="BF92" s="1190"/>
      <c r="BG92" s="1190"/>
      <c r="BH92" s="1190"/>
      <c r="BI92" s="1190"/>
      <c r="BJ92" s="1190"/>
      <c r="BK92" s="1190"/>
      <c r="BL92" s="1190"/>
      <c r="BM92" s="1190"/>
      <c r="BN92" s="1190"/>
      <c r="BO92" s="1190"/>
      <c r="BP92" s="1191"/>
    </row>
    <row r="93" spans="1:68" ht="15.75" customHeight="1">
      <c r="A93" s="168" t="s">
        <v>34</v>
      </c>
      <c r="B93" s="175">
        <v>15</v>
      </c>
      <c r="C93" s="175">
        <v>15</v>
      </c>
      <c r="D93" s="175">
        <v>15</v>
      </c>
      <c r="E93" s="175">
        <v>15</v>
      </c>
      <c r="F93" s="176"/>
      <c r="G93" s="176"/>
      <c r="H93" s="176"/>
      <c r="I93" s="175">
        <v>15</v>
      </c>
      <c r="J93" s="176"/>
      <c r="K93" s="176"/>
      <c r="L93" s="761"/>
      <c r="M93" s="26"/>
      <c r="N93" s="175">
        <v>0.89</v>
      </c>
      <c r="O93" s="175">
        <v>0.89</v>
      </c>
      <c r="P93" s="175">
        <v>0.89</v>
      </c>
      <c r="Q93" s="175">
        <v>0.89</v>
      </c>
      <c r="R93" s="176"/>
      <c r="S93" s="176"/>
      <c r="T93" s="176"/>
      <c r="U93" s="175">
        <v>0.89</v>
      </c>
      <c r="V93" s="176"/>
      <c r="W93" s="176"/>
      <c r="X93" s="176"/>
      <c r="Y93" s="26"/>
      <c r="Z93" s="175">
        <v>15</v>
      </c>
      <c r="AA93" s="175">
        <v>15</v>
      </c>
      <c r="AB93" s="175">
        <v>15</v>
      </c>
      <c r="AC93" s="175">
        <v>15</v>
      </c>
      <c r="AD93" s="176"/>
      <c r="AE93" s="176"/>
      <c r="AF93" s="176"/>
      <c r="AG93" s="175">
        <v>15</v>
      </c>
      <c r="AH93" s="176"/>
      <c r="AI93" s="176"/>
      <c r="AJ93" s="761"/>
      <c r="AK93" s="1136"/>
      <c r="AL93" s="282"/>
      <c r="AM93" s="282"/>
      <c r="AN93" s="282"/>
      <c r="AO93" s="282"/>
      <c r="AP93" s="282"/>
      <c r="AQ93" s="282"/>
      <c r="AR93" s="282"/>
      <c r="AS93" s="282"/>
      <c r="AT93" s="1186"/>
      <c r="AU93" s="739"/>
      <c r="AV93" s="743"/>
      <c r="AW93" s="1224" t="s">
        <v>421</v>
      </c>
      <c r="AX93" s="282"/>
      <c r="AY93" s="282"/>
      <c r="AZ93" s="282"/>
      <c r="BA93" s="282"/>
      <c r="BB93" s="1459"/>
      <c r="BC93" s="1461"/>
      <c r="BD93" s="1209"/>
      <c r="BE93" s="282"/>
      <c r="BF93" s="282"/>
      <c r="BG93" s="282"/>
      <c r="BH93" s="282"/>
      <c r="BI93" s="282"/>
      <c r="BJ93" s="1220" t="s">
        <v>420</v>
      </c>
      <c r="BK93" s="282"/>
      <c r="BL93" s="282"/>
      <c r="BM93" s="282"/>
      <c r="BN93" s="282"/>
      <c r="BO93" s="282"/>
      <c r="BP93" s="1186"/>
    </row>
    <row r="94" spans="1:68" ht="15.75">
      <c r="A94" s="171" t="s">
        <v>35</v>
      </c>
      <c r="B94" s="175">
        <v>8.9</v>
      </c>
      <c r="C94" s="175">
        <v>8.9</v>
      </c>
      <c r="D94" s="175">
        <v>8.9</v>
      </c>
      <c r="E94" s="175">
        <v>8.9</v>
      </c>
      <c r="F94" s="176"/>
      <c r="G94" s="176"/>
      <c r="H94" s="176"/>
      <c r="I94" s="175">
        <v>8.9</v>
      </c>
      <c r="J94" s="176"/>
      <c r="K94" s="176"/>
      <c r="L94" s="761"/>
      <c r="M94" s="26"/>
      <c r="N94" s="175">
        <v>0.89</v>
      </c>
      <c r="O94" s="175">
        <v>0.89</v>
      </c>
      <c r="P94" s="175">
        <v>0.89</v>
      </c>
      <c r="Q94" s="175">
        <v>0.89</v>
      </c>
      <c r="R94" s="176"/>
      <c r="S94" s="176"/>
      <c r="T94" s="176"/>
      <c r="U94" s="175">
        <v>0.89</v>
      </c>
      <c r="V94" s="176"/>
      <c r="W94" s="176"/>
      <c r="X94" s="176"/>
      <c r="Y94" s="26"/>
      <c r="Z94" s="175">
        <v>8.9</v>
      </c>
      <c r="AA94" s="175">
        <v>8.9</v>
      </c>
      <c r="AB94" s="175">
        <v>8.9</v>
      </c>
      <c r="AC94" s="175">
        <v>8.9</v>
      </c>
      <c r="AD94" s="176"/>
      <c r="AE94" s="176"/>
      <c r="AF94" s="176"/>
      <c r="AG94" s="175">
        <v>8.9</v>
      </c>
      <c r="AH94" s="176"/>
      <c r="AI94" s="176"/>
      <c r="AJ94" s="761"/>
      <c r="AK94" s="1136"/>
      <c r="AL94" s="282"/>
      <c r="AM94" s="282"/>
      <c r="AN94" s="282"/>
      <c r="AO94" s="282"/>
      <c r="AP94" s="282"/>
      <c r="AQ94" s="282"/>
      <c r="AR94" s="282"/>
      <c r="AS94" s="282"/>
      <c r="AT94" s="1186"/>
      <c r="AU94" s="739"/>
      <c r="AV94" s="746"/>
      <c r="AW94" s="1192"/>
      <c r="AX94" s="282"/>
      <c r="AY94" s="282"/>
      <c r="AZ94" s="1201" t="s">
        <v>374</v>
      </c>
      <c r="BA94" s="1201"/>
      <c r="BB94" s="1210" t="s">
        <v>373</v>
      </c>
      <c r="BC94" s="1461"/>
      <c r="BD94" s="1209"/>
      <c r="BE94" s="282"/>
      <c r="BF94" s="282"/>
      <c r="BG94" s="282"/>
      <c r="BH94" s="282"/>
      <c r="BI94" s="282"/>
      <c r="BJ94" s="282"/>
      <c r="BK94" s="1201" t="s">
        <v>409</v>
      </c>
      <c r="BL94" s="1201" t="s">
        <v>410</v>
      </c>
      <c r="BM94" s="282"/>
      <c r="BN94" s="282"/>
      <c r="BO94" s="282"/>
      <c r="BP94" s="1186"/>
    </row>
    <row r="95" spans="1:68" ht="13.5" customHeight="1">
      <c r="A95" s="170" t="s">
        <v>36</v>
      </c>
      <c r="B95" s="176"/>
      <c r="C95" s="176"/>
      <c r="D95" s="176"/>
      <c r="E95" s="176"/>
      <c r="F95" s="176"/>
      <c r="G95" s="176"/>
      <c r="H95" s="176"/>
      <c r="I95" s="176"/>
      <c r="J95" s="176"/>
      <c r="K95" s="176"/>
      <c r="L95" s="761"/>
      <c r="M95" s="26"/>
      <c r="N95" s="176"/>
      <c r="O95" s="176"/>
      <c r="P95" s="176"/>
      <c r="Q95" s="176"/>
      <c r="R95" s="176"/>
      <c r="S95" s="176"/>
      <c r="T95" s="176"/>
      <c r="U95" s="176"/>
      <c r="V95" s="176"/>
      <c r="W95" s="176"/>
      <c r="X95" s="176"/>
      <c r="Y95" s="26"/>
      <c r="Z95" s="176"/>
      <c r="AA95" s="176"/>
      <c r="AB95" s="176"/>
      <c r="AC95" s="176"/>
      <c r="AD95" s="176"/>
      <c r="AE95" s="176"/>
      <c r="AF95" s="176"/>
      <c r="AG95" s="176"/>
      <c r="AH95" s="176"/>
      <c r="AI95" s="176"/>
      <c r="AJ95" s="761"/>
      <c r="AK95" s="1136"/>
      <c r="AL95" s="282"/>
      <c r="AM95" s="282"/>
      <c r="AN95" s="282"/>
      <c r="AO95" s="282"/>
      <c r="AP95" s="282"/>
      <c r="AQ95" s="282"/>
      <c r="AR95" s="282"/>
      <c r="AS95" s="282"/>
      <c r="AT95" s="1186"/>
      <c r="AW95" s="1192" t="s">
        <v>384</v>
      </c>
      <c r="AX95" s="1201"/>
      <c r="AY95" s="1201"/>
      <c r="AZ95" s="1211">
        <v>0.001</v>
      </c>
      <c r="BA95" s="1212" t="s">
        <v>374</v>
      </c>
      <c r="BB95" s="1110">
        <v>1</v>
      </c>
      <c r="BC95" s="1213">
        <v>1E-05</v>
      </c>
      <c r="BD95" s="1211">
        <f aca="true" t="shared" si="147" ref="BD95">BC95/AZ95</f>
        <v>0.01</v>
      </c>
      <c r="BE95" s="282" t="s">
        <v>375</v>
      </c>
      <c r="BF95" s="282"/>
      <c r="BG95" s="282"/>
      <c r="BH95" s="282"/>
      <c r="BI95" s="282"/>
      <c r="BJ95" s="1239" t="s">
        <v>414</v>
      </c>
      <c r="BK95" s="1241">
        <v>84</v>
      </c>
      <c r="BL95" s="1242">
        <v>371</v>
      </c>
      <c r="BM95" s="282" t="s">
        <v>412</v>
      </c>
      <c r="BN95" s="282"/>
      <c r="BO95" s="282"/>
      <c r="BP95" s="1186"/>
    </row>
    <row r="96" spans="1:68" ht="15.75" customHeight="1">
      <c r="A96" s="172" t="s">
        <v>98</v>
      </c>
      <c r="B96" s="175">
        <v>2</v>
      </c>
      <c r="C96" s="175">
        <v>2</v>
      </c>
      <c r="D96" s="175">
        <v>2</v>
      </c>
      <c r="E96" s="175">
        <v>2</v>
      </c>
      <c r="F96" s="176"/>
      <c r="G96" s="176"/>
      <c r="H96" s="176"/>
      <c r="I96" s="175">
        <v>2</v>
      </c>
      <c r="J96" s="176"/>
      <c r="K96" s="176"/>
      <c r="L96" s="761"/>
      <c r="M96" s="26"/>
      <c r="N96" s="175">
        <v>0.89</v>
      </c>
      <c r="O96" s="175">
        <v>0.89</v>
      </c>
      <c r="P96" s="175">
        <v>0.89</v>
      </c>
      <c r="Q96" s="175">
        <v>0.89</v>
      </c>
      <c r="R96" s="176"/>
      <c r="S96" s="176"/>
      <c r="T96" s="176"/>
      <c r="U96" s="175">
        <v>0.89</v>
      </c>
      <c r="V96" s="176"/>
      <c r="W96" s="176"/>
      <c r="X96" s="176"/>
      <c r="Y96" s="26"/>
      <c r="Z96" s="175">
        <v>2</v>
      </c>
      <c r="AA96" s="175">
        <v>2</v>
      </c>
      <c r="AB96" s="175">
        <v>2</v>
      </c>
      <c r="AC96" s="175">
        <v>2</v>
      </c>
      <c r="AD96" s="176"/>
      <c r="AE96" s="176"/>
      <c r="AF96" s="176"/>
      <c r="AG96" s="175">
        <v>2</v>
      </c>
      <c r="AH96" s="176"/>
      <c r="AI96" s="176"/>
      <c r="AJ96" s="761"/>
      <c r="AK96" s="1136"/>
      <c r="AL96" s="282"/>
      <c r="AM96" s="282"/>
      <c r="AN96" s="282"/>
      <c r="AO96" s="282"/>
      <c r="AP96" s="282"/>
      <c r="AQ96" s="282"/>
      <c r="AR96" s="282"/>
      <c r="AS96" s="282"/>
      <c r="AT96" s="1186"/>
      <c r="AW96" s="1192" t="s">
        <v>385</v>
      </c>
      <c r="AX96" s="1201"/>
      <c r="AY96" s="1201"/>
      <c r="AZ96" s="1211">
        <v>10</v>
      </c>
      <c r="BA96" s="1201" t="s">
        <v>374</v>
      </c>
      <c r="BB96" s="1110">
        <v>0.79</v>
      </c>
      <c r="BC96" s="1213">
        <f>5*30/25</f>
        <v>6</v>
      </c>
      <c r="BD96" s="1211">
        <f>BC96/AZ96</f>
        <v>0.6</v>
      </c>
      <c r="BE96" s="282" t="s">
        <v>375</v>
      </c>
      <c r="BF96" s="282"/>
      <c r="BG96" s="282"/>
      <c r="BH96" s="282"/>
      <c r="BI96" s="282"/>
      <c r="BJ96" s="1239" t="s">
        <v>415</v>
      </c>
      <c r="BK96" s="1243">
        <v>109575</v>
      </c>
      <c r="BL96" s="1113">
        <v>219150</v>
      </c>
      <c r="BM96" s="282" t="s">
        <v>413</v>
      </c>
      <c r="BN96" s="282"/>
      <c r="BO96" s="282"/>
      <c r="BP96" s="1186"/>
    </row>
    <row r="97" spans="1:68" ht="16.5" thickBot="1">
      <c r="A97" s="168" t="s">
        <v>283</v>
      </c>
      <c r="B97" s="175"/>
      <c r="C97" s="175"/>
      <c r="D97" s="175"/>
      <c r="E97" s="175"/>
      <c r="F97" s="176"/>
      <c r="G97" s="176"/>
      <c r="H97" s="176"/>
      <c r="I97" s="175"/>
      <c r="J97" s="176"/>
      <c r="K97" s="176"/>
      <c r="L97" s="761"/>
      <c r="M97" s="26"/>
      <c r="N97" s="175"/>
      <c r="O97" s="175"/>
      <c r="P97" s="175"/>
      <c r="Q97" s="175"/>
      <c r="R97" s="176"/>
      <c r="S97" s="176"/>
      <c r="T97" s="176"/>
      <c r="U97" s="175"/>
      <c r="V97" s="176"/>
      <c r="W97" s="176"/>
      <c r="X97" s="176"/>
      <c r="Y97" s="26"/>
      <c r="Z97" s="175"/>
      <c r="AA97" s="175"/>
      <c r="AB97" s="175"/>
      <c r="AC97" s="175"/>
      <c r="AD97" s="176"/>
      <c r="AE97" s="176"/>
      <c r="AF97" s="176"/>
      <c r="AG97" s="175"/>
      <c r="AH97" s="176"/>
      <c r="AI97" s="176"/>
      <c r="AJ97" s="761"/>
      <c r="AK97" s="1136"/>
      <c r="AL97" s="282"/>
      <c r="AM97" s="282"/>
      <c r="AN97" s="282"/>
      <c r="AO97" s="282"/>
      <c r="AP97" s="282"/>
      <c r="AQ97" s="282"/>
      <c r="AR97" s="282"/>
      <c r="AS97" s="282"/>
      <c r="AT97" s="1186"/>
      <c r="AW97" s="1192" t="s">
        <v>386</v>
      </c>
      <c r="AX97" s="1201"/>
      <c r="AY97" s="1201"/>
      <c r="AZ97" s="1211">
        <v>20</v>
      </c>
      <c r="BA97" s="1212" t="s">
        <v>374</v>
      </c>
      <c r="BB97" s="1110">
        <v>0.66</v>
      </c>
      <c r="BC97" s="1213">
        <f>14*30/25</f>
        <v>16.8</v>
      </c>
      <c r="BD97" s="1211">
        <f aca="true" t="shared" si="148" ref="BD97">BC97/AZ97</f>
        <v>0.8400000000000001</v>
      </c>
      <c r="BE97" s="282" t="s">
        <v>375</v>
      </c>
      <c r="BF97" s="282"/>
      <c r="BG97" s="282"/>
      <c r="BH97" s="282"/>
      <c r="BI97" s="282"/>
      <c r="BJ97" s="1239" t="s">
        <v>411</v>
      </c>
      <c r="BK97" s="1244">
        <f>BK95/BK96</f>
        <v>0.0007665982203969884</v>
      </c>
      <c r="BL97" s="1245">
        <f>BL95/BL96</f>
        <v>0.0016929044033766826</v>
      </c>
      <c r="BM97" s="282" t="s">
        <v>416</v>
      </c>
      <c r="BN97" s="282"/>
      <c r="BO97" s="282"/>
      <c r="BP97" s="1186"/>
    </row>
    <row r="98" spans="1:68" ht="16.5" thickBot="1">
      <c r="A98" s="168"/>
      <c r="B98" s="175"/>
      <c r="C98" s="620" t="s">
        <v>258</v>
      </c>
      <c r="D98" s="621" t="s">
        <v>260</v>
      </c>
      <c r="E98" s="622" t="s">
        <v>120</v>
      </c>
      <c r="F98" s="176">
        <v>0</v>
      </c>
      <c r="G98" s="176">
        <v>0</v>
      </c>
      <c r="H98" s="176">
        <v>0</v>
      </c>
      <c r="I98" s="628" t="s">
        <v>282</v>
      </c>
      <c r="J98" s="640" t="s">
        <v>257</v>
      </c>
      <c r="K98" s="176"/>
      <c r="L98" s="761"/>
      <c r="M98" s="26"/>
      <c r="N98" s="175">
        <v>0.89</v>
      </c>
      <c r="O98" s="620" t="s">
        <v>258</v>
      </c>
      <c r="P98" s="621" t="s">
        <v>260</v>
      </c>
      <c r="Q98" s="622" t="s">
        <v>120</v>
      </c>
      <c r="R98" s="176">
        <v>0</v>
      </c>
      <c r="S98" s="176">
        <v>0</v>
      </c>
      <c r="T98" s="176">
        <v>0</v>
      </c>
      <c r="U98" s="628" t="s">
        <v>282</v>
      </c>
      <c r="V98" s="640" t="s">
        <v>257</v>
      </c>
      <c r="W98" s="176"/>
      <c r="X98" s="176"/>
      <c r="Y98" s="26"/>
      <c r="Z98" s="175"/>
      <c r="AA98" s="620" t="s">
        <v>258</v>
      </c>
      <c r="AB98" s="621" t="s">
        <v>260</v>
      </c>
      <c r="AC98" s="622" t="s">
        <v>120</v>
      </c>
      <c r="AD98" s="176">
        <v>0</v>
      </c>
      <c r="AE98" s="176">
        <v>0</v>
      </c>
      <c r="AF98" s="176">
        <v>0</v>
      </c>
      <c r="AG98" s="628" t="s">
        <v>282</v>
      </c>
      <c r="AH98" s="640" t="s">
        <v>257</v>
      </c>
      <c r="AI98" s="176"/>
      <c r="AJ98" s="761"/>
      <c r="AK98" s="1136"/>
      <c r="AL98" s="282"/>
      <c r="AM98" s="282"/>
      <c r="AN98" s="282"/>
      <c r="AO98" s="282"/>
      <c r="AP98" s="282"/>
      <c r="AQ98" s="282"/>
      <c r="AR98" s="282"/>
      <c r="AS98" s="282"/>
      <c r="AT98" s="1186"/>
      <c r="AW98" s="1192"/>
      <c r="AX98" s="1201"/>
      <c r="AY98" s="1201"/>
      <c r="AZ98" s="1201"/>
      <c r="BA98" s="1201"/>
      <c r="BB98" s="1201"/>
      <c r="BC98" s="1214" t="s">
        <v>376</v>
      </c>
      <c r="BD98" s="1215">
        <f>(BD96+BD97)/2</f>
        <v>0.72</v>
      </c>
      <c r="BE98" s="282" t="s">
        <v>375</v>
      </c>
      <c r="BF98" s="282"/>
      <c r="BG98" s="282"/>
      <c r="BH98" s="282"/>
      <c r="BI98" s="282"/>
      <c r="BJ98" s="282"/>
      <c r="BK98" s="1246">
        <f>BK97/365.25</f>
        <v>2.0988315411279626E-06</v>
      </c>
      <c r="BL98" s="1247">
        <f>BL97/365.25</f>
        <v>4.6349196533242505E-06</v>
      </c>
      <c r="BM98" s="282" t="s">
        <v>417</v>
      </c>
      <c r="BN98" s="282"/>
      <c r="BO98" s="282"/>
      <c r="BP98" s="1186"/>
    </row>
    <row r="99" spans="1:68" ht="18.75" customHeight="1" thickBot="1">
      <c r="A99" s="168" t="s">
        <v>284</v>
      </c>
      <c r="B99" s="175">
        <v>25</v>
      </c>
      <c r="C99" s="644">
        <v>25</v>
      </c>
      <c r="D99" s="645">
        <v>25</v>
      </c>
      <c r="E99" s="646">
        <v>25</v>
      </c>
      <c r="F99" s="714"/>
      <c r="G99" s="714"/>
      <c r="H99" s="714"/>
      <c r="I99" s="632">
        <v>25</v>
      </c>
      <c r="J99" s="715"/>
      <c r="K99" s="714"/>
      <c r="L99" s="761"/>
      <c r="M99" s="716"/>
      <c r="N99" s="248">
        <v>0.89</v>
      </c>
      <c r="O99" s="644">
        <v>0.89</v>
      </c>
      <c r="P99" s="645">
        <v>0.89</v>
      </c>
      <c r="Q99" s="646">
        <v>0.89</v>
      </c>
      <c r="R99" s="714"/>
      <c r="S99" s="714"/>
      <c r="T99" s="714"/>
      <c r="U99" s="632">
        <v>0.89</v>
      </c>
      <c r="V99" s="715"/>
      <c r="W99" s="714"/>
      <c r="X99" s="714"/>
      <c r="Y99" s="716"/>
      <c r="Z99" s="248">
        <v>25</v>
      </c>
      <c r="AA99" s="644">
        <v>25</v>
      </c>
      <c r="AB99" s="645">
        <v>25</v>
      </c>
      <c r="AC99" s="646">
        <v>25</v>
      </c>
      <c r="AD99" s="714"/>
      <c r="AE99" s="714"/>
      <c r="AF99" s="714"/>
      <c r="AG99" s="632">
        <v>25</v>
      </c>
      <c r="AH99" s="641"/>
      <c r="AI99" s="176"/>
      <c r="AJ99" s="761"/>
      <c r="AK99" s="1137"/>
      <c r="AL99" s="1187"/>
      <c r="AM99" s="1187"/>
      <c r="AN99" s="1187"/>
      <c r="AO99" s="1187"/>
      <c r="AP99" s="1187"/>
      <c r="AQ99" s="1187"/>
      <c r="AR99" s="1187"/>
      <c r="AS99" s="1187"/>
      <c r="AT99" s="1188"/>
      <c r="AU99" s="1437" t="s">
        <v>440</v>
      </c>
      <c r="AW99" s="1192"/>
      <c r="AX99" s="282"/>
      <c r="AY99" s="282"/>
      <c r="AZ99" s="282"/>
      <c r="BA99" s="282"/>
      <c r="BB99" s="282"/>
      <c r="BC99" s="1216" t="s">
        <v>377</v>
      </c>
      <c r="BD99" s="1217">
        <f>BD98/(365.25*356.25)</f>
        <v>5.533340538203825E-06</v>
      </c>
      <c r="BE99" s="1218" t="s">
        <v>417</v>
      </c>
      <c r="BF99" s="282"/>
      <c r="BG99" s="282"/>
      <c r="BH99" s="282"/>
      <c r="BI99" s="282"/>
      <c r="BJ99" s="1240" t="s">
        <v>418</v>
      </c>
      <c r="BK99" s="1456">
        <f>(BK98+BL98)/2</f>
        <v>3.3668755972261063E-06</v>
      </c>
      <c r="BL99" s="1457"/>
      <c r="BM99" s="282" t="s">
        <v>417</v>
      </c>
      <c r="BN99" s="282"/>
      <c r="BO99" s="282"/>
      <c r="BP99" s="1186"/>
    </row>
    <row r="100" spans="1:68" ht="16.5" customHeight="1" thickBot="1">
      <c r="A100" s="249" t="s">
        <v>127</v>
      </c>
      <c r="B100" s="175"/>
      <c r="C100" s="644"/>
      <c r="D100" s="645"/>
      <c r="E100" s="646"/>
      <c r="F100" s="714"/>
      <c r="G100" s="714"/>
      <c r="H100" s="714"/>
      <c r="I100" s="632"/>
      <c r="J100" s="715"/>
      <c r="K100" s="714"/>
      <c r="L100" s="761"/>
      <c r="M100" s="716"/>
      <c r="N100" s="248">
        <v>0.89</v>
      </c>
      <c r="O100" s="644">
        <v>0.89</v>
      </c>
      <c r="P100" s="645">
        <v>0.89</v>
      </c>
      <c r="Q100" s="646">
        <v>0.89</v>
      </c>
      <c r="R100" s="714"/>
      <c r="S100" s="714"/>
      <c r="T100" s="714"/>
      <c r="U100" s="632">
        <v>0.89</v>
      </c>
      <c r="V100" s="715"/>
      <c r="W100" s="714"/>
      <c r="X100" s="714"/>
      <c r="Y100" s="716"/>
      <c r="Z100" s="248"/>
      <c r="AA100" s="644"/>
      <c r="AB100" s="645"/>
      <c r="AC100" s="646"/>
      <c r="AD100" s="714"/>
      <c r="AE100" s="714"/>
      <c r="AF100" s="714"/>
      <c r="AG100" s="632"/>
      <c r="AH100" s="641"/>
      <c r="AI100" s="176"/>
      <c r="AJ100" s="761"/>
      <c r="AS100" s="1369" t="s">
        <v>423</v>
      </c>
      <c r="AU100" s="1437"/>
      <c r="AW100" s="1192" t="s">
        <v>380</v>
      </c>
      <c r="AX100" s="282"/>
      <c r="AY100" s="282"/>
      <c r="AZ100" s="282"/>
      <c r="BA100" s="282"/>
      <c r="BB100" s="282"/>
      <c r="BC100" s="1216"/>
      <c r="BD100" s="1218"/>
      <c r="BE100" s="1218"/>
      <c r="BF100" s="282"/>
      <c r="BG100" s="282"/>
      <c r="BH100" s="282"/>
      <c r="BI100" s="282"/>
      <c r="BJ100" s="1240" t="s">
        <v>419</v>
      </c>
      <c r="BK100" s="1454">
        <f ca="1">BK99*BD86/(CVDLCDALYs!H37)</f>
        <v>3.3668755972261063E-06</v>
      </c>
      <c r="BL100" s="1455"/>
      <c r="BM100" s="282" t="s">
        <v>417</v>
      </c>
      <c r="BN100" s="282"/>
      <c r="BO100" s="282"/>
      <c r="BP100" s="1186"/>
    </row>
    <row r="101" spans="1:68" ht="15.75">
      <c r="A101" s="249" t="s">
        <v>128</v>
      </c>
      <c r="B101" s="175">
        <v>44</v>
      </c>
      <c r="C101" s="644">
        <v>44</v>
      </c>
      <c r="D101" s="645">
        <v>44</v>
      </c>
      <c r="E101" s="646">
        <v>44</v>
      </c>
      <c r="F101" s="714"/>
      <c r="G101" s="714"/>
      <c r="H101" s="714"/>
      <c r="I101" s="632">
        <v>44</v>
      </c>
      <c r="J101" s="715"/>
      <c r="K101" s="714"/>
      <c r="L101" s="761"/>
      <c r="M101" s="716"/>
      <c r="N101" s="248">
        <v>0.89</v>
      </c>
      <c r="O101" s="644">
        <v>0.89</v>
      </c>
      <c r="P101" s="645">
        <v>0.89</v>
      </c>
      <c r="Q101" s="646">
        <v>0.89</v>
      </c>
      <c r="R101" s="714"/>
      <c r="S101" s="714"/>
      <c r="T101" s="714"/>
      <c r="U101" s="632">
        <v>0.89</v>
      </c>
      <c r="V101" s="715"/>
      <c r="W101" s="714"/>
      <c r="X101" s="714"/>
      <c r="Y101" s="716"/>
      <c r="Z101" s="248">
        <v>44</v>
      </c>
      <c r="AA101" s="644">
        <v>44</v>
      </c>
      <c r="AB101" s="645">
        <v>44</v>
      </c>
      <c r="AC101" s="646">
        <v>44</v>
      </c>
      <c r="AD101" s="714"/>
      <c r="AE101" s="714"/>
      <c r="AF101" s="714"/>
      <c r="AG101" s="632">
        <v>44</v>
      </c>
      <c r="AH101" s="641"/>
      <c r="AI101" s="176"/>
      <c r="AJ101" s="761"/>
      <c r="AS101" s="580" t="s">
        <v>439</v>
      </c>
      <c r="AU101" s="1438"/>
      <c r="AW101" s="1192"/>
      <c r="AX101" s="282"/>
      <c r="AY101" s="282"/>
      <c r="AZ101" s="282"/>
      <c r="BA101" s="282"/>
      <c r="BB101" s="282"/>
      <c r="BC101" s="282"/>
      <c r="BD101" s="282"/>
      <c r="BE101" s="282"/>
      <c r="BF101" s="282"/>
      <c r="BG101" s="282"/>
      <c r="BH101" s="282"/>
      <c r="BI101" s="282"/>
      <c r="BJ101" s="282"/>
      <c r="BK101" s="282"/>
      <c r="BL101" s="282"/>
      <c r="BM101" s="282"/>
      <c r="BN101" s="282"/>
      <c r="BO101" s="282"/>
      <c r="BP101" s="1186"/>
    </row>
    <row r="102" spans="1:68" ht="15.75">
      <c r="A102" s="249" t="s">
        <v>285</v>
      </c>
      <c r="B102" s="175">
        <v>25</v>
      </c>
      <c r="C102" s="644">
        <v>25</v>
      </c>
      <c r="D102" s="645">
        <v>25</v>
      </c>
      <c r="E102" s="646">
        <v>25</v>
      </c>
      <c r="F102" s="714"/>
      <c r="G102" s="714"/>
      <c r="H102" s="714"/>
      <c r="I102" s="632">
        <v>25</v>
      </c>
      <c r="J102" s="715"/>
      <c r="K102" s="714"/>
      <c r="L102" s="761"/>
      <c r="M102" s="716"/>
      <c r="N102" s="248">
        <v>0.89</v>
      </c>
      <c r="O102" s="644">
        <v>0.89</v>
      </c>
      <c r="P102" s="645">
        <v>0.89</v>
      </c>
      <c r="Q102" s="646">
        <v>0.89</v>
      </c>
      <c r="R102" s="714"/>
      <c r="S102" s="714"/>
      <c r="T102" s="714"/>
      <c r="U102" s="632">
        <v>0.89</v>
      </c>
      <c r="V102" s="715"/>
      <c r="W102" s="714"/>
      <c r="X102" s="714"/>
      <c r="Y102" s="716"/>
      <c r="Z102" s="248">
        <v>25</v>
      </c>
      <c r="AA102" s="644">
        <v>25</v>
      </c>
      <c r="AB102" s="645">
        <v>25</v>
      </c>
      <c r="AC102" s="646">
        <v>25</v>
      </c>
      <c r="AD102" s="714"/>
      <c r="AE102" s="714"/>
      <c r="AF102" s="714"/>
      <c r="AG102" s="632">
        <v>25</v>
      </c>
      <c r="AH102" s="641"/>
      <c r="AI102" s="176"/>
      <c r="AJ102" s="761"/>
      <c r="AO102" s="1434" t="s">
        <v>435</v>
      </c>
      <c r="AP102" s="1434"/>
      <c r="AQ102" s="1434"/>
      <c r="AR102" s="1434"/>
      <c r="AS102" s="1435">
        <f ca="1">AW5*1000/(G62*BD74)</f>
        <v>18.371173304374935</v>
      </c>
      <c r="AU102" s="1435">
        <f ca="1">INDIRECT("CVDLCDALYs!"&amp;"I"&amp;$D$62)</f>
        <v>17.742392977848777</v>
      </c>
      <c r="AW102" s="1192" t="s">
        <v>387</v>
      </c>
      <c r="AX102" s="282"/>
      <c r="AY102" s="282"/>
      <c r="AZ102" s="282"/>
      <c r="BA102" s="282"/>
      <c r="BB102" s="282"/>
      <c r="BC102" s="1216"/>
      <c r="BD102" s="1219"/>
      <c r="BE102" s="282"/>
      <c r="BF102" s="282"/>
      <c r="BG102" s="282"/>
      <c r="BH102" s="282"/>
      <c r="BI102" s="282"/>
      <c r="BJ102" s="282"/>
      <c r="BK102" s="282"/>
      <c r="BL102" s="282"/>
      <c r="BM102" s="282"/>
      <c r="BN102" s="282"/>
      <c r="BO102" s="282"/>
      <c r="BP102" s="1186"/>
    </row>
    <row r="103" spans="1:68" ht="15.75">
      <c r="A103" s="249" t="s">
        <v>134</v>
      </c>
      <c r="B103" s="175"/>
      <c r="C103" s="644"/>
      <c r="D103" s="645"/>
      <c r="E103" s="646"/>
      <c r="F103" s="714"/>
      <c r="G103" s="714"/>
      <c r="H103" s="714"/>
      <c r="I103" s="632"/>
      <c r="J103" s="715"/>
      <c r="K103" s="714"/>
      <c r="L103" s="761"/>
      <c r="M103" s="716"/>
      <c r="N103" s="248">
        <v>0.89</v>
      </c>
      <c r="O103" s="644">
        <v>0.89</v>
      </c>
      <c r="P103" s="645">
        <v>0.89</v>
      </c>
      <c r="Q103" s="646">
        <v>0.89</v>
      </c>
      <c r="R103" s="714"/>
      <c r="S103" s="714"/>
      <c r="T103" s="714"/>
      <c r="U103" s="632">
        <v>0.89</v>
      </c>
      <c r="V103" s="715"/>
      <c r="W103" s="714"/>
      <c r="X103" s="714"/>
      <c r="Y103" s="716"/>
      <c r="Z103" s="248"/>
      <c r="AA103" s="644"/>
      <c r="AB103" s="645"/>
      <c r="AC103" s="646"/>
      <c r="AD103" s="714"/>
      <c r="AE103" s="714"/>
      <c r="AF103" s="714"/>
      <c r="AG103" s="632"/>
      <c r="AH103" s="641"/>
      <c r="AI103" s="176"/>
      <c r="AJ103" s="761"/>
      <c r="AO103" s="1434"/>
      <c r="AP103" s="1434"/>
      <c r="AQ103" s="1434"/>
      <c r="AR103" s="1434"/>
      <c r="AS103" s="1436"/>
      <c r="AT103" s="580" t="s">
        <v>424</v>
      </c>
      <c r="AU103" s="1436"/>
      <c r="AV103" s="580" t="s">
        <v>424</v>
      </c>
      <c r="AW103" s="1192" t="s">
        <v>388</v>
      </c>
      <c r="AX103" s="282"/>
      <c r="AY103" s="282"/>
      <c r="AZ103" s="282"/>
      <c r="BA103" s="282"/>
      <c r="BB103" s="282"/>
      <c r="BC103" s="1216"/>
      <c r="BD103" s="1219"/>
      <c r="BE103" s="1220"/>
      <c r="BF103" s="282"/>
      <c r="BG103" s="282"/>
      <c r="BH103" s="282"/>
      <c r="BI103" s="282"/>
      <c r="BJ103" s="282"/>
      <c r="BK103" s="282"/>
      <c r="BL103" s="282"/>
      <c r="BM103" s="282"/>
      <c r="BN103" s="282"/>
      <c r="BO103" s="282"/>
      <c r="BP103" s="1186"/>
    </row>
    <row r="104" spans="1:68" ht="15.75">
      <c r="A104" s="249" t="s">
        <v>131</v>
      </c>
      <c r="B104" s="175"/>
      <c r="C104" s="644"/>
      <c r="D104" s="645"/>
      <c r="E104" s="646"/>
      <c r="F104" s="714"/>
      <c r="G104" s="714"/>
      <c r="H104" s="714"/>
      <c r="I104" s="632"/>
      <c r="J104" s="715"/>
      <c r="K104" s="714"/>
      <c r="L104" s="761"/>
      <c r="M104" s="716"/>
      <c r="N104" s="248">
        <v>0.89</v>
      </c>
      <c r="O104" s="644">
        <v>0.89</v>
      </c>
      <c r="P104" s="645">
        <v>0.89</v>
      </c>
      <c r="Q104" s="646">
        <v>0.89</v>
      </c>
      <c r="R104" s="714"/>
      <c r="S104" s="714"/>
      <c r="T104" s="714"/>
      <c r="U104" s="632">
        <v>0.89</v>
      </c>
      <c r="V104" s="715"/>
      <c r="W104" s="714"/>
      <c r="X104" s="714"/>
      <c r="Y104" s="716"/>
      <c r="Z104" s="248"/>
      <c r="AA104" s="644"/>
      <c r="AB104" s="645"/>
      <c r="AC104" s="646"/>
      <c r="AD104" s="714"/>
      <c r="AE104" s="714"/>
      <c r="AF104" s="714"/>
      <c r="AG104" s="632"/>
      <c r="AH104" s="641"/>
      <c r="AI104" s="176"/>
      <c r="AJ104" s="761"/>
      <c r="AO104" s="1364"/>
      <c r="AR104" s="1261" t="s">
        <v>425</v>
      </c>
      <c r="AS104" s="1339">
        <f ca="1">100*L6/AW$5</f>
        <v>26.42342249376917</v>
      </c>
      <c r="AT104" s="580" t="s">
        <v>94</v>
      </c>
      <c r="AW104" s="1192"/>
      <c r="AX104" s="282" t="s">
        <v>389</v>
      </c>
      <c r="AY104" s="282"/>
      <c r="AZ104" s="282"/>
      <c r="BA104" s="282"/>
      <c r="BB104" s="282"/>
      <c r="BC104" s="1216"/>
      <c r="BD104" s="1219"/>
      <c r="BE104" s="1220"/>
      <c r="BF104" s="282"/>
      <c r="BG104" s="282"/>
      <c r="BH104" s="282"/>
      <c r="BI104" s="282"/>
      <c r="BJ104" s="282"/>
      <c r="BK104" s="282"/>
      <c r="BL104" s="282"/>
      <c r="BM104" s="282"/>
      <c r="BN104" s="282"/>
      <c r="BO104" s="282"/>
      <c r="BP104" s="1186"/>
    </row>
    <row r="105" spans="1:68" ht="15.75">
      <c r="A105" s="249" t="s">
        <v>132</v>
      </c>
      <c r="B105" s="175">
        <v>25</v>
      </c>
      <c r="C105" s="644">
        <v>25</v>
      </c>
      <c r="D105" s="645">
        <v>25</v>
      </c>
      <c r="E105" s="646">
        <v>25</v>
      </c>
      <c r="F105" s="714"/>
      <c r="G105" s="714"/>
      <c r="H105" s="714"/>
      <c r="I105" s="632">
        <v>25</v>
      </c>
      <c r="J105" s="715"/>
      <c r="K105" s="714"/>
      <c r="L105" s="761"/>
      <c r="M105" s="716"/>
      <c r="N105" s="248">
        <v>0.89</v>
      </c>
      <c r="O105" s="644">
        <v>0.89</v>
      </c>
      <c r="P105" s="645">
        <v>0.89</v>
      </c>
      <c r="Q105" s="646">
        <v>0.89</v>
      </c>
      <c r="R105" s="714"/>
      <c r="S105" s="714"/>
      <c r="T105" s="714"/>
      <c r="U105" s="632">
        <v>0.89</v>
      </c>
      <c r="V105" s="715"/>
      <c r="W105" s="714"/>
      <c r="X105" s="714"/>
      <c r="Y105" s="716"/>
      <c r="Z105" s="248">
        <v>25</v>
      </c>
      <c r="AA105" s="644">
        <v>25</v>
      </c>
      <c r="AB105" s="645">
        <v>25</v>
      </c>
      <c r="AC105" s="646">
        <v>25</v>
      </c>
      <c r="AD105" s="714"/>
      <c r="AE105" s="714"/>
      <c r="AF105" s="714"/>
      <c r="AG105" s="632">
        <v>25</v>
      </c>
      <c r="AH105" s="641"/>
      <c r="AI105" s="176"/>
      <c r="AJ105" s="761"/>
      <c r="AR105" s="1261" t="s">
        <v>429</v>
      </c>
      <c r="AS105" s="1340">
        <f ca="1">100*X6/AW$5</f>
        <v>39.54035096173122</v>
      </c>
      <c r="AT105" s="580" t="s">
        <v>94</v>
      </c>
      <c r="AW105" s="1192" t="s">
        <v>390</v>
      </c>
      <c r="AX105" s="282"/>
      <c r="AY105" s="282"/>
      <c r="AZ105" s="282"/>
      <c r="BA105" s="282"/>
      <c r="BB105" s="282"/>
      <c r="BC105" s="1216"/>
      <c r="BD105" s="1219"/>
      <c r="BE105" s="1220"/>
      <c r="BF105" s="282"/>
      <c r="BG105" s="282"/>
      <c r="BH105" s="282"/>
      <c r="BI105" s="282"/>
      <c r="BJ105" s="282"/>
      <c r="BK105" s="282"/>
      <c r="BL105" s="282"/>
      <c r="BM105" s="282"/>
      <c r="BN105" s="282"/>
      <c r="BO105" s="282"/>
      <c r="BP105" s="1186"/>
    </row>
    <row r="106" spans="1:68" ht="15.75">
      <c r="A106" s="168" t="s">
        <v>39</v>
      </c>
      <c r="B106" s="175">
        <v>25</v>
      </c>
      <c r="C106" s="644">
        <v>25</v>
      </c>
      <c r="D106" s="645">
        <v>25</v>
      </c>
      <c r="E106" s="646">
        <v>25</v>
      </c>
      <c r="F106" s="714"/>
      <c r="G106" s="714"/>
      <c r="H106" s="714"/>
      <c r="I106" s="632">
        <v>25</v>
      </c>
      <c r="J106" s="715"/>
      <c r="K106" s="714"/>
      <c r="L106" s="761"/>
      <c r="M106" s="716"/>
      <c r="N106" s="248">
        <v>0.89</v>
      </c>
      <c r="O106" s="644">
        <v>0.89</v>
      </c>
      <c r="P106" s="645">
        <v>0.89</v>
      </c>
      <c r="Q106" s="646">
        <v>0.89</v>
      </c>
      <c r="R106" s="714"/>
      <c r="S106" s="714"/>
      <c r="T106" s="714"/>
      <c r="U106" s="632">
        <v>0.89</v>
      </c>
      <c r="V106" s="715"/>
      <c r="W106" s="714"/>
      <c r="X106" s="714"/>
      <c r="Y106" s="716"/>
      <c r="Z106" s="248">
        <v>25</v>
      </c>
      <c r="AA106" s="644">
        <v>25</v>
      </c>
      <c r="AB106" s="645">
        <v>25</v>
      </c>
      <c r="AC106" s="646">
        <v>25</v>
      </c>
      <c r="AD106" s="714"/>
      <c r="AE106" s="714"/>
      <c r="AF106" s="714"/>
      <c r="AG106" s="632">
        <v>25</v>
      </c>
      <c r="AH106" s="642"/>
      <c r="AI106" s="176"/>
      <c r="AJ106" s="761"/>
      <c r="AR106" s="1261" t="s">
        <v>430</v>
      </c>
      <c r="AS106" s="1341">
        <f ca="1">100*AJ6/AW$5</f>
        <v>34.03622654449961</v>
      </c>
      <c r="AT106" s="580" t="s">
        <v>94</v>
      </c>
      <c r="AW106" s="1192"/>
      <c r="AX106" s="282" t="s">
        <v>391</v>
      </c>
      <c r="AY106" s="282"/>
      <c r="AZ106" s="282"/>
      <c r="BA106" s="282"/>
      <c r="BB106" s="282"/>
      <c r="BC106" s="1216"/>
      <c r="BD106" s="282"/>
      <c r="BE106" s="1220"/>
      <c r="BF106" s="282"/>
      <c r="BG106" s="282"/>
      <c r="BH106" s="282"/>
      <c r="BI106" s="282"/>
      <c r="BJ106" s="282"/>
      <c r="BK106" s="282"/>
      <c r="BL106" s="282"/>
      <c r="BM106" s="282"/>
      <c r="BN106" s="282"/>
      <c r="BO106" s="282"/>
      <c r="BP106" s="1186"/>
    </row>
    <row r="107" spans="1:68" ht="15.75">
      <c r="A107" s="249" t="s">
        <v>127</v>
      </c>
      <c r="B107" s="175">
        <v>25</v>
      </c>
      <c r="C107" s="644">
        <v>25</v>
      </c>
      <c r="D107" s="645">
        <v>25</v>
      </c>
      <c r="E107" s="646">
        <v>25</v>
      </c>
      <c r="F107" s="714"/>
      <c r="G107" s="714"/>
      <c r="H107" s="714"/>
      <c r="I107" s="632">
        <v>25</v>
      </c>
      <c r="J107" s="715"/>
      <c r="K107" s="714"/>
      <c r="L107" s="761"/>
      <c r="M107" s="716"/>
      <c r="N107" s="248">
        <v>0.89</v>
      </c>
      <c r="O107" s="644">
        <v>0.89</v>
      </c>
      <c r="P107" s="645">
        <v>0.89</v>
      </c>
      <c r="Q107" s="646">
        <v>0.89</v>
      </c>
      <c r="R107" s="714"/>
      <c r="S107" s="714"/>
      <c r="T107" s="714"/>
      <c r="U107" s="632">
        <v>0.89</v>
      </c>
      <c r="V107" s="715"/>
      <c r="W107" s="714"/>
      <c r="X107" s="714"/>
      <c r="Y107" s="716"/>
      <c r="Z107" s="248">
        <v>25</v>
      </c>
      <c r="AA107" s="644">
        <v>25</v>
      </c>
      <c r="AB107" s="645">
        <v>25</v>
      </c>
      <c r="AC107" s="646">
        <v>25</v>
      </c>
      <c r="AD107" s="714"/>
      <c r="AE107" s="714"/>
      <c r="AF107" s="714"/>
      <c r="AG107" s="632">
        <v>25</v>
      </c>
      <c r="AH107" s="641"/>
      <c r="AI107" s="176"/>
      <c r="AJ107" s="761"/>
      <c r="AS107" s="1235">
        <f ca="1">SUM(AS104:AS106)</f>
        <v>100</v>
      </c>
      <c r="AT107" s="1226" t="s">
        <v>94</v>
      </c>
      <c r="AU107" s="580" t="s">
        <v>441</v>
      </c>
      <c r="AW107" s="1192"/>
      <c r="AX107" s="282" t="s">
        <v>392</v>
      </c>
      <c r="AY107" s="282"/>
      <c r="AZ107" s="282"/>
      <c r="BA107" s="282"/>
      <c r="BB107" s="282"/>
      <c r="BC107" s="1216"/>
      <c r="BD107" s="279"/>
      <c r="BE107" s="1220"/>
      <c r="BF107" s="282"/>
      <c r="BG107" s="282"/>
      <c r="BH107" s="282"/>
      <c r="BI107" s="282"/>
      <c r="BJ107" s="282"/>
      <c r="BK107" s="282"/>
      <c r="BL107" s="282"/>
      <c r="BM107" s="282"/>
      <c r="BN107" s="282"/>
      <c r="BO107" s="282"/>
      <c r="BP107" s="1186"/>
    </row>
    <row r="108" spans="1:68" ht="16.5" thickBot="1">
      <c r="A108" s="250" t="s">
        <v>132</v>
      </c>
      <c r="B108" s="175">
        <v>3.8</v>
      </c>
      <c r="C108" s="647">
        <v>3.8</v>
      </c>
      <c r="D108" s="648">
        <v>3.8</v>
      </c>
      <c r="E108" s="649">
        <v>3.8</v>
      </c>
      <c r="F108" s="714"/>
      <c r="G108" s="714"/>
      <c r="H108" s="714"/>
      <c r="I108" s="639">
        <v>3.8</v>
      </c>
      <c r="J108" s="717"/>
      <c r="K108" s="714"/>
      <c r="L108" s="761"/>
      <c r="M108" s="716"/>
      <c r="N108" s="248">
        <v>0.89</v>
      </c>
      <c r="O108" s="647">
        <v>0.89</v>
      </c>
      <c r="P108" s="648">
        <v>0.89</v>
      </c>
      <c r="Q108" s="649">
        <v>0.89</v>
      </c>
      <c r="R108" s="714"/>
      <c r="S108" s="714"/>
      <c r="T108" s="714"/>
      <c r="U108" s="639">
        <v>0.89</v>
      </c>
      <c r="V108" s="717"/>
      <c r="W108" s="714"/>
      <c r="X108" s="714"/>
      <c r="Y108" s="716"/>
      <c r="Z108" s="248">
        <v>3.8</v>
      </c>
      <c r="AA108" s="647">
        <v>3.8</v>
      </c>
      <c r="AB108" s="648">
        <v>3.8</v>
      </c>
      <c r="AC108" s="649">
        <v>3.8</v>
      </c>
      <c r="AD108" s="714"/>
      <c r="AE108" s="714"/>
      <c r="AF108" s="714"/>
      <c r="AG108" s="639">
        <v>3.8</v>
      </c>
      <c r="AH108" s="643"/>
      <c r="AI108" s="176"/>
      <c r="AJ108" s="761"/>
      <c r="AR108" s="1359" t="s">
        <v>432</v>
      </c>
      <c r="AS108" s="4">
        <f ca="1">L6/PMemission!L12</f>
        <v>10.862779365136618</v>
      </c>
      <c r="AT108" s="1226" t="s">
        <v>123</v>
      </c>
      <c r="AU108" s="4">
        <f ca="1">(L6/PMemission!L12)*(AU102/AS102)</f>
        <v>10.49098482359987</v>
      </c>
      <c r="AV108" s="1226" t="s">
        <v>123</v>
      </c>
      <c r="AW108" s="1192" t="s">
        <v>406</v>
      </c>
      <c r="AX108" s="282"/>
      <c r="AY108" s="282"/>
      <c r="AZ108" s="282"/>
      <c r="BA108" s="282"/>
      <c r="BB108" s="282"/>
      <c r="BC108" s="1216"/>
      <c r="BD108" s="1221"/>
      <c r="BE108" s="1220"/>
      <c r="BF108" s="282"/>
      <c r="BG108" s="282"/>
      <c r="BH108" s="282"/>
      <c r="BI108" s="282"/>
      <c r="BJ108" s="282"/>
      <c r="BK108" s="282"/>
      <c r="BL108" s="282"/>
      <c r="BM108" s="282"/>
      <c r="BN108" s="282"/>
      <c r="BO108" s="282"/>
      <c r="BP108" s="1186"/>
    </row>
    <row r="109" spans="1:68" ht="15.75">
      <c r="A109" s="168" t="s">
        <v>40</v>
      </c>
      <c r="B109" s="175">
        <v>3.8</v>
      </c>
      <c r="C109" s="175">
        <v>3.8</v>
      </c>
      <c r="D109" s="175">
        <v>3.8</v>
      </c>
      <c r="E109" s="175">
        <v>3.8</v>
      </c>
      <c r="F109" s="176"/>
      <c r="G109" s="176"/>
      <c r="H109" s="176"/>
      <c r="I109" s="175">
        <v>3.8</v>
      </c>
      <c r="J109" s="176"/>
      <c r="K109" s="176"/>
      <c r="L109" s="761"/>
      <c r="M109" s="26"/>
      <c r="N109" s="175">
        <v>0.89</v>
      </c>
      <c r="O109" s="175">
        <v>0.89</v>
      </c>
      <c r="P109" s="175">
        <v>0.89</v>
      </c>
      <c r="Q109" s="175">
        <v>0.89</v>
      </c>
      <c r="R109" s="176"/>
      <c r="S109" s="176"/>
      <c r="T109" s="176"/>
      <c r="U109" s="175">
        <v>0.89</v>
      </c>
      <c r="V109" s="176"/>
      <c r="W109" s="176"/>
      <c r="X109" s="176"/>
      <c r="Y109" s="26"/>
      <c r="Z109" s="175">
        <v>3.8</v>
      </c>
      <c r="AA109" s="175">
        <v>3.8</v>
      </c>
      <c r="AB109" s="175">
        <v>3.8</v>
      </c>
      <c r="AC109" s="175">
        <v>3.8</v>
      </c>
      <c r="AD109" s="176"/>
      <c r="AE109" s="176"/>
      <c r="AF109" s="176"/>
      <c r="AG109" s="175">
        <v>3.8</v>
      </c>
      <c r="AH109" s="176"/>
      <c r="AI109" s="176"/>
      <c r="AJ109" s="761"/>
      <c r="AR109" s="1359" t="s">
        <v>433</v>
      </c>
      <c r="AS109" s="4">
        <f ca="1">X6/PMemission!X12</f>
        <v>0.9390883322925563</v>
      </c>
      <c r="AT109" t="s">
        <v>123</v>
      </c>
      <c r="AU109" s="4">
        <f ca="1">(X6/PMemission!X12)*(AU102/AS102)</f>
        <v>0.9069466580275162</v>
      </c>
      <c r="AV109" t="s">
        <v>123</v>
      </c>
      <c r="AW109" s="1194"/>
      <c r="AX109" s="282" t="s">
        <v>407</v>
      </c>
      <c r="AY109" s="282"/>
      <c r="AZ109" s="282"/>
      <c r="BA109" s="282"/>
      <c r="BB109" s="282"/>
      <c r="BC109" s="1216"/>
      <c r="BD109" s="1222"/>
      <c r="BE109" s="1220"/>
      <c r="BF109" s="282"/>
      <c r="BG109" s="282"/>
      <c r="BH109" s="282"/>
      <c r="BI109" s="282"/>
      <c r="BJ109" s="282"/>
      <c r="BK109" s="282"/>
      <c r="BL109" s="282"/>
      <c r="BM109" s="282"/>
      <c r="BN109" s="282"/>
      <c r="BO109" s="282"/>
      <c r="BP109" s="1186"/>
    </row>
    <row r="110" spans="1:68" ht="15.75">
      <c r="A110" s="172" t="s">
        <v>99</v>
      </c>
      <c r="B110" s="175">
        <v>3.8</v>
      </c>
      <c r="C110" s="175">
        <v>3.8</v>
      </c>
      <c r="D110" s="175">
        <v>3.8</v>
      </c>
      <c r="E110" s="175">
        <v>3.8</v>
      </c>
      <c r="F110" s="176"/>
      <c r="G110" s="176"/>
      <c r="H110" s="176"/>
      <c r="I110" s="175">
        <v>3.8</v>
      </c>
      <c r="J110" s="176"/>
      <c r="K110" s="176"/>
      <c r="L110" s="761"/>
      <c r="M110" s="26"/>
      <c r="N110" s="175">
        <v>0.89</v>
      </c>
      <c r="O110" s="175">
        <v>0.89</v>
      </c>
      <c r="P110" s="175">
        <v>0.89</v>
      </c>
      <c r="Q110" s="175">
        <v>0.89</v>
      </c>
      <c r="R110" s="176"/>
      <c r="S110" s="176"/>
      <c r="T110" s="176"/>
      <c r="U110" s="175">
        <v>0.89</v>
      </c>
      <c r="V110" s="176"/>
      <c r="W110" s="176"/>
      <c r="X110" s="176"/>
      <c r="Y110" s="26"/>
      <c r="Z110" s="175">
        <v>3.8</v>
      </c>
      <c r="AA110" s="175">
        <v>3.8</v>
      </c>
      <c r="AB110" s="175">
        <v>3.8</v>
      </c>
      <c r="AC110" s="175">
        <v>3.8</v>
      </c>
      <c r="AD110" s="176"/>
      <c r="AE110" s="176"/>
      <c r="AF110" s="176"/>
      <c r="AG110" s="175">
        <v>3.8</v>
      </c>
      <c r="AH110" s="176"/>
      <c r="AI110" s="176"/>
      <c r="AJ110" s="761"/>
      <c r="AR110" s="1359" t="s">
        <v>434</v>
      </c>
      <c r="AS110" s="4">
        <f ca="1">AJ6/PMemission!AJ12</f>
        <v>22.844629840856637</v>
      </c>
      <c r="AT110" t="s">
        <v>123</v>
      </c>
      <c r="AU110" s="4">
        <f ca="1">(AJ6/PMemission!AJ12)*(AU102/AS102)</f>
        <v>22.06273890919348</v>
      </c>
      <c r="AV110" t="s">
        <v>123</v>
      </c>
      <c r="AW110" s="1194"/>
      <c r="AX110" s="282" t="s">
        <v>408</v>
      </c>
      <c r="AY110" s="282"/>
      <c r="AZ110" s="282"/>
      <c r="BA110" s="282"/>
      <c r="BB110" s="282"/>
      <c r="BC110" s="282"/>
      <c r="BD110" s="282"/>
      <c r="BE110" s="282"/>
      <c r="BF110" s="282"/>
      <c r="BG110" s="282"/>
      <c r="BH110" s="282"/>
      <c r="BI110" s="282"/>
      <c r="BJ110" s="282"/>
      <c r="BK110" s="282"/>
      <c r="BL110" s="282"/>
      <c r="BM110" s="282"/>
      <c r="BN110" s="282"/>
      <c r="BO110" s="282"/>
      <c r="BP110" s="1186"/>
    </row>
    <row r="111" spans="1:68" ht="15.75">
      <c r="A111" s="171" t="s">
        <v>35</v>
      </c>
      <c r="B111" s="175">
        <v>10</v>
      </c>
      <c r="C111" s="175">
        <v>10</v>
      </c>
      <c r="D111" s="175">
        <v>10</v>
      </c>
      <c r="E111" s="175">
        <v>10</v>
      </c>
      <c r="F111" s="176"/>
      <c r="G111" s="176"/>
      <c r="H111" s="176"/>
      <c r="I111" s="175">
        <v>10</v>
      </c>
      <c r="J111" s="176"/>
      <c r="K111" s="176"/>
      <c r="L111" s="761"/>
      <c r="M111" s="26"/>
      <c r="N111" s="175">
        <v>0.89</v>
      </c>
      <c r="O111" s="175">
        <v>0.89</v>
      </c>
      <c r="P111" s="175">
        <v>0.89</v>
      </c>
      <c r="Q111" s="175">
        <v>0.89</v>
      </c>
      <c r="R111" s="176"/>
      <c r="S111" s="176"/>
      <c r="T111" s="176"/>
      <c r="U111" s="175">
        <v>0.89</v>
      </c>
      <c r="V111" s="176"/>
      <c r="W111" s="176"/>
      <c r="X111" s="176"/>
      <c r="Y111" s="26"/>
      <c r="Z111" s="175">
        <v>10</v>
      </c>
      <c r="AA111" s="175">
        <v>10</v>
      </c>
      <c r="AB111" s="175">
        <v>10</v>
      </c>
      <c r="AC111" s="175">
        <v>10</v>
      </c>
      <c r="AD111" s="176"/>
      <c r="AE111" s="176"/>
      <c r="AF111" s="176"/>
      <c r="AG111" s="175">
        <v>10</v>
      </c>
      <c r="AH111" s="176"/>
      <c r="AI111" s="176"/>
      <c r="AJ111" s="761"/>
      <c r="AR111" s="1363" t="s">
        <v>431</v>
      </c>
      <c r="AS111" s="11">
        <f ca="1">AW5/PMemission!AX13</f>
        <v>1.4553411661274391</v>
      </c>
      <c r="AT111" s="66" t="s">
        <v>123</v>
      </c>
      <c r="AU111" s="11">
        <f ca="1">AW6/PMemission!AX13</f>
        <v>1.403858652023886</v>
      </c>
      <c r="AV111" s="66" t="s">
        <v>123</v>
      </c>
      <c r="AW111" s="1194"/>
      <c r="AX111" s="282"/>
      <c r="AY111" s="282"/>
      <c r="AZ111" s="282"/>
      <c r="BA111" s="282"/>
      <c r="BB111" s="282"/>
      <c r="BC111" s="282"/>
      <c r="BD111" s="282"/>
      <c r="BE111" s="282"/>
      <c r="BF111" s="282"/>
      <c r="BG111" s="282"/>
      <c r="BH111" s="282"/>
      <c r="BI111" s="282"/>
      <c r="BJ111" s="282"/>
      <c r="BK111" s="282"/>
      <c r="BL111" s="282"/>
      <c r="BM111" s="282"/>
      <c r="BN111" s="282"/>
      <c r="BO111" s="282"/>
      <c r="BP111" s="1186"/>
    </row>
    <row r="112" spans="1:68" ht="15.75">
      <c r="A112" s="170" t="s">
        <v>42</v>
      </c>
      <c r="B112" s="176"/>
      <c r="C112" s="176"/>
      <c r="D112" s="176"/>
      <c r="E112" s="176"/>
      <c r="F112" s="176"/>
      <c r="G112" s="176"/>
      <c r="H112" s="176"/>
      <c r="I112" s="176"/>
      <c r="J112" s="176"/>
      <c r="K112" s="176"/>
      <c r="L112" s="761"/>
      <c r="M112" s="26"/>
      <c r="N112" s="176"/>
      <c r="O112" s="176"/>
      <c r="P112" s="176"/>
      <c r="Q112" s="176"/>
      <c r="R112" s="176"/>
      <c r="S112" s="176"/>
      <c r="T112" s="176"/>
      <c r="U112" s="176"/>
      <c r="V112" s="176"/>
      <c r="W112" s="176"/>
      <c r="X112" s="176"/>
      <c r="Y112" s="26"/>
      <c r="Z112" s="176"/>
      <c r="AA112" s="176"/>
      <c r="AB112" s="176"/>
      <c r="AC112" s="176"/>
      <c r="AD112" s="176"/>
      <c r="AE112" s="176"/>
      <c r="AF112" s="176"/>
      <c r="AG112" s="176"/>
      <c r="AH112" s="176"/>
      <c r="AI112" s="176"/>
      <c r="AJ112" s="761"/>
      <c r="AW112" s="1192" t="s">
        <v>378</v>
      </c>
      <c r="AX112" s="282"/>
      <c r="AY112" s="282"/>
      <c r="AZ112" s="282"/>
      <c r="BA112" s="282"/>
      <c r="BB112" s="282"/>
      <c r="BC112" s="282"/>
      <c r="BD112" s="282"/>
      <c r="BE112" s="282"/>
      <c r="BF112" s="282"/>
      <c r="BG112" s="282"/>
      <c r="BH112" s="282"/>
      <c r="BI112" s="282"/>
      <c r="BJ112" s="282"/>
      <c r="BK112" s="282"/>
      <c r="BL112" s="282"/>
      <c r="BM112" s="282"/>
      <c r="BN112" s="282"/>
      <c r="BO112" s="282"/>
      <c r="BP112" s="1186"/>
    </row>
    <row r="113" spans="1:68" ht="16.5" thickBot="1">
      <c r="A113" s="168" t="s">
        <v>43</v>
      </c>
      <c r="B113" s="175">
        <v>25</v>
      </c>
      <c r="C113" s="175">
        <v>25</v>
      </c>
      <c r="D113" s="175">
        <v>25</v>
      </c>
      <c r="E113" s="175">
        <v>25</v>
      </c>
      <c r="F113" s="176"/>
      <c r="G113" s="176"/>
      <c r="H113" s="176"/>
      <c r="I113" s="175">
        <v>25</v>
      </c>
      <c r="J113" s="176"/>
      <c r="K113" s="176"/>
      <c r="L113" s="761"/>
      <c r="M113" s="26"/>
      <c r="N113" s="175">
        <v>0.89</v>
      </c>
      <c r="O113" s="175">
        <v>0.89</v>
      </c>
      <c r="P113" s="175">
        <v>0.89</v>
      </c>
      <c r="Q113" s="175">
        <v>0.89</v>
      </c>
      <c r="R113" s="176"/>
      <c r="S113" s="176"/>
      <c r="T113" s="176"/>
      <c r="U113" s="175">
        <v>0.89</v>
      </c>
      <c r="V113" s="176"/>
      <c r="W113" s="176"/>
      <c r="X113" s="176"/>
      <c r="Y113" s="26"/>
      <c r="Z113" s="175">
        <v>25</v>
      </c>
      <c r="AA113" s="175">
        <v>25</v>
      </c>
      <c r="AB113" s="175">
        <v>25</v>
      </c>
      <c r="AC113" s="175">
        <v>25</v>
      </c>
      <c r="AD113" s="176"/>
      <c r="AE113" s="176"/>
      <c r="AF113" s="176"/>
      <c r="AG113" s="175">
        <v>25</v>
      </c>
      <c r="AH113" s="176"/>
      <c r="AI113" s="176"/>
      <c r="AJ113" s="761"/>
      <c r="AW113" s="1225"/>
      <c r="AX113" s="1187" t="s">
        <v>379</v>
      </c>
      <c r="AY113" s="1187"/>
      <c r="AZ113" s="1187"/>
      <c r="BA113" s="1187"/>
      <c r="BB113" s="1187"/>
      <c r="BC113" s="1187"/>
      <c r="BD113" s="1187"/>
      <c r="BE113" s="1187"/>
      <c r="BF113" s="1187"/>
      <c r="BG113" s="1187"/>
      <c r="BH113" s="1187"/>
      <c r="BI113" s="1187"/>
      <c r="BJ113" s="1187"/>
      <c r="BK113" s="1187"/>
      <c r="BL113" s="1187"/>
      <c r="BM113" s="1187"/>
      <c r="BN113" s="1187"/>
      <c r="BO113" s="1187"/>
      <c r="BP113" s="1188"/>
    </row>
    <row r="114" spans="1:68" ht="15.75">
      <c r="A114" s="250" t="s">
        <v>138</v>
      </c>
      <c r="B114" s="175">
        <v>25</v>
      </c>
      <c r="C114" s="175">
        <v>25</v>
      </c>
      <c r="D114" s="175">
        <v>25</v>
      </c>
      <c r="E114" s="175">
        <v>25</v>
      </c>
      <c r="F114" s="176"/>
      <c r="G114" s="176"/>
      <c r="H114" s="176"/>
      <c r="I114" s="175">
        <v>25</v>
      </c>
      <c r="J114" s="176"/>
      <c r="K114" s="176"/>
      <c r="L114" s="761"/>
      <c r="M114" s="26"/>
      <c r="N114" s="175">
        <v>0.89</v>
      </c>
      <c r="O114" s="175">
        <v>0.89</v>
      </c>
      <c r="P114" s="175">
        <v>0.89</v>
      </c>
      <c r="Q114" s="175">
        <v>0.89</v>
      </c>
      <c r="R114" s="176"/>
      <c r="S114" s="176"/>
      <c r="T114" s="176"/>
      <c r="U114" s="175">
        <v>0.89</v>
      </c>
      <c r="V114" s="176"/>
      <c r="W114" s="176"/>
      <c r="X114" s="176"/>
      <c r="Y114" s="26"/>
      <c r="Z114" s="175">
        <v>25</v>
      </c>
      <c r="AA114" s="175">
        <v>25</v>
      </c>
      <c r="AB114" s="175">
        <v>25</v>
      </c>
      <c r="AC114" s="175">
        <v>25</v>
      </c>
      <c r="AD114" s="176"/>
      <c r="AE114" s="176"/>
      <c r="AF114" s="176"/>
      <c r="AG114" s="175">
        <v>25</v>
      </c>
      <c r="AH114" s="176"/>
      <c r="AI114" s="176"/>
      <c r="AJ114" s="761"/>
      <c r="AZ114" s="91"/>
      <c r="BA114" s="91"/>
      <c r="BB114" s="91"/>
      <c r="BC114" s="91"/>
      <c r="BD114" s="91"/>
      <c r="BE114" s="91"/>
      <c r="BF114" s="91"/>
      <c r="BG114" s="91"/>
      <c r="BH114" s="91"/>
      <c r="BI114" s="91"/>
      <c r="BJ114" s="91"/>
      <c r="BK114" s="91"/>
      <c r="BL114" s="91"/>
      <c r="BM114" s="91"/>
      <c r="BN114" s="91"/>
      <c r="BO114" s="91"/>
      <c r="BP114" s="91"/>
    </row>
    <row r="115" spans="1:36" ht="15.75">
      <c r="A115" s="251" t="s">
        <v>135</v>
      </c>
      <c r="B115" s="175"/>
      <c r="C115" s="175"/>
      <c r="D115" s="175"/>
      <c r="E115" s="175"/>
      <c r="F115" s="176"/>
      <c r="G115" s="176"/>
      <c r="H115" s="176"/>
      <c r="I115" s="175"/>
      <c r="J115" s="176"/>
      <c r="K115" s="176"/>
      <c r="L115" s="761"/>
      <c r="M115" s="26"/>
      <c r="N115" s="175">
        <v>0.89</v>
      </c>
      <c r="O115" s="175">
        <v>0.89</v>
      </c>
      <c r="P115" s="175">
        <v>0.89</v>
      </c>
      <c r="Q115" s="175">
        <v>0.89</v>
      </c>
      <c r="R115" s="176"/>
      <c r="S115" s="176"/>
      <c r="T115" s="176"/>
      <c r="U115" s="175">
        <v>0.89</v>
      </c>
      <c r="V115" s="176"/>
      <c r="W115" s="176"/>
      <c r="X115" s="176"/>
      <c r="Y115" s="26"/>
      <c r="Z115" s="175"/>
      <c r="AA115" s="175"/>
      <c r="AB115" s="175"/>
      <c r="AC115" s="175"/>
      <c r="AD115" s="176"/>
      <c r="AE115" s="176"/>
      <c r="AF115" s="176"/>
      <c r="AG115" s="175"/>
      <c r="AH115" s="176"/>
      <c r="AI115" s="176"/>
      <c r="AJ115" s="761"/>
    </row>
    <row r="116" spans="1:36" ht="15.75">
      <c r="A116" s="250" t="s">
        <v>136</v>
      </c>
      <c r="B116" s="175">
        <v>8.9</v>
      </c>
      <c r="C116" s="175">
        <v>8.9</v>
      </c>
      <c r="D116" s="175">
        <v>8.9</v>
      </c>
      <c r="E116" s="175">
        <v>8.9</v>
      </c>
      <c r="F116" s="176"/>
      <c r="G116" s="176"/>
      <c r="H116" s="176"/>
      <c r="I116" s="175">
        <v>8.9</v>
      </c>
      <c r="J116" s="176"/>
      <c r="K116" s="176"/>
      <c r="L116" s="761"/>
      <c r="M116" s="26"/>
      <c r="N116" s="175">
        <v>0.89</v>
      </c>
      <c r="O116" s="175">
        <v>0.89</v>
      </c>
      <c r="P116" s="175">
        <v>0.89</v>
      </c>
      <c r="Q116" s="175">
        <v>0.89</v>
      </c>
      <c r="R116" s="176"/>
      <c r="S116" s="176"/>
      <c r="T116" s="176"/>
      <c r="U116" s="175">
        <v>0.89</v>
      </c>
      <c r="V116" s="176"/>
      <c r="W116" s="176"/>
      <c r="X116" s="176"/>
      <c r="Y116" s="26"/>
      <c r="Z116" s="175">
        <v>8.9</v>
      </c>
      <c r="AA116" s="175">
        <v>8.9</v>
      </c>
      <c r="AB116" s="175">
        <v>8.9</v>
      </c>
      <c r="AC116" s="175">
        <v>8.9</v>
      </c>
      <c r="AD116" s="176"/>
      <c r="AE116" s="176"/>
      <c r="AF116" s="176"/>
      <c r="AG116" s="175">
        <v>8.9</v>
      </c>
      <c r="AH116" s="176"/>
      <c r="AI116" s="176"/>
      <c r="AJ116" s="761"/>
    </row>
    <row r="117" spans="1:36" ht="15.75">
      <c r="A117" s="168" t="s">
        <v>44</v>
      </c>
      <c r="B117" s="175">
        <v>3.8</v>
      </c>
      <c r="C117" s="175">
        <v>3.8</v>
      </c>
      <c r="D117" s="175">
        <v>3.8</v>
      </c>
      <c r="E117" s="175">
        <v>3.8</v>
      </c>
      <c r="F117" s="176"/>
      <c r="G117" s="176"/>
      <c r="H117" s="176"/>
      <c r="I117" s="175">
        <v>3.8</v>
      </c>
      <c r="J117" s="176"/>
      <c r="K117" s="176"/>
      <c r="L117" s="761"/>
      <c r="M117" s="26"/>
      <c r="N117" s="175">
        <v>0.89</v>
      </c>
      <c r="O117" s="175">
        <v>0.89</v>
      </c>
      <c r="P117" s="175">
        <v>0.89</v>
      </c>
      <c r="Q117" s="175">
        <v>0.89</v>
      </c>
      <c r="R117" s="176"/>
      <c r="S117" s="176"/>
      <c r="T117" s="176"/>
      <c r="U117" s="175">
        <v>0.89</v>
      </c>
      <c r="V117" s="176"/>
      <c r="W117" s="176"/>
      <c r="X117" s="176"/>
      <c r="Y117" s="26"/>
      <c r="Z117" s="175">
        <v>3.8</v>
      </c>
      <c r="AA117" s="175">
        <v>3.8</v>
      </c>
      <c r="AB117" s="175">
        <v>3.8</v>
      </c>
      <c r="AC117" s="175">
        <v>3.8</v>
      </c>
      <c r="AD117" s="176"/>
      <c r="AE117" s="176"/>
      <c r="AF117" s="176"/>
      <c r="AG117" s="175">
        <v>3.8</v>
      </c>
      <c r="AH117" s="176"/>
      <c r="AI117" s="176"/>
      <c r="AJ117" s="761"/>
    </row>
    <row r="118" spans="1:36" ht="15.75">
      <c r="A118" s="168" t="s">
        <v>45</v>
      </c>
      <c r="B118" s="175">
        <v>0.1</v>
      </c>
      <c r="C118" s="175">
        <v>0.1</v>
      </c>
      <c r="D118" s="175">
        <v>0.1</v>
      </c>
      <c r="E118" s="175">
        <v>0.1</v>
      </c>
      <c r="F118" s="176"/>
      <c r="G118" s="176"/>
      <c r="H118" s="176"/>
      <c r="I118" s="175">
        <v>0.1</v>
      </c>
      <c r="J118" s="176"/>
      <c r="K118" s="176"/>
      <c r="L118" s="761"/>
      <c r="M118" s="26"/>
      <c r="N118" s="175">
        <v>0.89</v>
      </c>
      <c r="O118" s="175">
        <v>0.89</v>
      </c>
      <c r="P118" s="175">
        <v>0.89</v>
      </c>
      <c r="Q118" s="175">
        <v>0.89</v>
      </c>
      <c r="R118" s="176"/>
      <c r="S118" s="176"/>
      <c r="T118" s="176"/>
      <c r="U118" s="175">
        <v>0.89</v>
      </c>
      <c r="V118" s="176"/>
      <c r="W118" s="176"/>
      <c r="X118" s="176"/>
      <c r="Y118" s="26"/>
      <c r="Z118" s="175">
        <v>0.1</v>
      </c>
      <c r="AA118" s="175">
        <v>0.1</v>
      </c>
      <c r="AB118" s="175">
        <v>0.1</v>
      </c>
      <c r="AC118" s="175">
        <v>0.1</v>
      </c>
      <c r="AD118" s="176"/>
      <c r="AE118" s="176"/>
      <c r="AF118" s="176"/>
      <c r="AG118" s="175">
        <v>0.1</v>
      </c>
      <c r="AH118" s="176"/>
      <c r="AI118" s="176"/>
      <c r="AJ118" s="761"/>
    </row>
    <row r="119" spans="1:36" ht="15.75">
      <c r="A119" s="171" t="s">
        <v>35</v>
      </c>
      <c r="B119" s="175">
        <v>8.9</v>
      </c>
      <c r="C119" s="175">
        <v>8.9</v>
      </c>
      <c r="D119" s="175">
        <v>8.9</v>
      </c>
      <c r="E119" s="175">
        <v>8.9</v>
      </c>
      <c r="F119" s="176"/>
      <c r="G119" s="176"/>
      <c r="H119" s="176"/>
      <c r="I119" s="175">
        <v>8.9</v>
      </c>
      <c r="J119" s="176"/>
      <c r="K119" s="176"/>
      <c r="L119" s="761"/>
      <c r="M119" s="26"/>
      <c r="N119" s="175">
        <v>0.89</v>
      </c>
      <c r="O119" s="175">
        <v>0.89</v>
      </c>
      <c r="P119" s="175">
        <v>0.89</v>
      </c>
      <c r="Q119" s="175">
        <v>0.89</v>
      </c>
      <c r="R119" s="176"/>
      <c r="S119" s="176"/>
      <c r="T119" s="176"/>
      <c r="U119" s="175">
        <v>0.89</v>
      </c>
      <c r="V119" s="176"/>
      <c r="W119" s="176"/>
      <c r="X119" s="176"/>
      <c r="Y119" s="26"/>
      <c r="Z119" s="175">
        <v>8.9</v>
      </c>
      <c r="AA119" s="175">
        <v>8.9</v>
      </c>
      <c r="AB119" s="175">
        <v>8.9</v>
      </c>
      <c r="AC119" s="175">
        <v>8.9</v>
      </c>
      <c r="AD119" s="176"/>
      <c r="AE119" s="176"/>
      <c r="AF119" s="176"/>
      <c r="AG119" s="175">
        <v>8.9</v>
      </c>
      <c r="AH119" s="176"/>
      <c r="AI119" s="176"/>
      <c r="AJ119" s="761"/>
    </row>
    <row r="120" ht="12.75">
      <c r="A120" s="91"/>
    </row>
    <row r="121" ht="15">
      <c r="A121" s="195"/>
    </row>
    <row r="122" ht="12.75">
      <c r="A122" s="64"/>
    </row>
    <row r="123" ht="12.75">
      <c r="A123" s="64"/>
    </row>
    <row r="124" ht="12.75">
      <c r="A124" s="64"/>
    </row>
    <row r="125" ht="12.75">
      <c r="A125" s="64"/>
    </row>
    <row r="126" ht="12.75">
      <c r="A126" s="64"/>
    </row>
    <row r="127" ht="12.75">
      <c r="A127" s="64"/>
    </row>
    <row r="128" ht="12.75">
      <c r="A128" s="64"/>
    </row>
    <row r="129" ht="12.75">
      <c r="A129" s="64"/>
    </row>
    <row r="130" ht="12.75">
      <c r="A130" s="64"/>
    </row>
    <row r="131" ht="12.75">
      <c r="A131" s="64"/>
    </row>
    <row r="132" ht="12.75">
      <c r="A132" s="64"/>
    </row>
    <row r="133" ht="12.75">
      <c r="A133" s="64"/>
    </row>
    <row r="134" ht="12.75">
      <c r="A134" s="64"/>
    </row>
    <row r="135" ht="15">
      <c r="A135" s="195"/>
    </row>
    <row r="136" ht="12.75">
      <c r="A136" s="12"/>
    </row>
    <row r="137" ht="12.75">
      <c r="A137" s="64"/>
    </row>
    <row r="138" ht="12.75">
      <c r="A138" s="64"/>
    </row>
    <row r="139" ht="12.75">
      <c r="A139" s="64"/>
    </row>
    <row r="140" ht="12.75">
      <c r="A140" s="64"/>
    </row>
    <row r="141" ht="12.75">
      <c r="A141" s="64"/>
    </row>
    <row r="142" ht="12.75">
      <c r="A142" s="64"/>
    </row>
    <row r="143" ht="12.75">
      <c r="A143" s="64"/>
    </row>
    <row r="144" ht="12.75">
      <c r="A144" s="64"/>
    </row>
    <row r="145" ht="12.75">
      <c r="A145" s="64"/>
    </row>
    <row r="146" ht="12.75">
      <c r="A146" s="64"/>
    </row>
    <row r="147" ht="12.75">
      <c r="A147" s="64"/>
    </row>
    <row r="148" ht="12.75">
      <c r="A148" s="64"/>
    </row>
    <row r="149" ht="12.75">
      <c r="A149" s="64"/>
    </row>
    <row r="150" ht="12.75">
      <c r="A150" s="12"/>
    </row>
    <row r="151" ht="12.75">
      <c r="A151" s="196"/>
    </row>
    <row r="152" spans="1:2" ht="12.75">
      <c r="A152" s="64"/>
      <c r="B152">
        <f>Mtoe!$D$76</f>
        <v>37</v>
      </c>
    </row>
    <row r="153" ht="12.75">
      <c r="A153" s="64"/>
    </row>
    <row r="154" ht="12.75">
      <c r="A154" s="64"/>
    </row>
    <row r="155" ht="12.75">
      <c r="A155" s="64"/>
    </row>
    <row r="156" ht="12.75">
      <c r="A156" s="196"/>
    </row>
    <row r="157" ht="12.75">
      <c r="A157" s="64"/>
    </row>
    <row r="158" ht="12.75">
      <c r="A158" s="64"/>
    </row>
    <row r="159" ht="12.75">
      <c r="A159" s="12"/>
    </row>
    <row r="160" ht="12.75">
      <c r="A160" s="64"/>
    </row>
    <row r="161" ht="12.75">
      <c r="A161" s="64"/>
    </row>
    <row r="162" ht="12.75">
      <c r="A162" s="64"/>
    </row>
    <row r="163" ht="12.75">
      <c r="A163" s="64"/>
    </row>
    <row r="164" ht="12.75">
      <c r="A164" s="64"/>
    </row>
    <row r="165" ht="12.75">
      <c r="A165" s="12"/>
    </row>
    <row r="166" ht="12.75">
      <c r="A166" s="64"/>
    </row>
    <row r="167" ht="12.75">
      <c r="A167" s="197"/>
    </row>
    <row r="168" ht="12.75">
      <c r="A168" s="64"/>
    </row>
    <row r="169" ht="12.75">
      <c r="A169" s="64"/>
    </row>
    <row r="170" ht="12.75">
      <c r="A170" s="91"/>
    </row>
    <row r="171" ht="12.75">
      <c r="A171" s="91"/>
    </row>
    <row r="172" ht="12.75">
      <c r="A172" s="91"/>
    </row>
    <row r="173" ht="12.75">
      <c r="A173" s="91"/>
    </row>
    <row r="174" ht="12.75">
      <c r="A174" s="91"/>
    </row>
    <row r="175" ht="12.75">
      <c r="A175" s="91"/>
    </row>
    <row r="176" ht="12.75">
      <c r="A176" s="91"/>
    </row>
    <row r="177" ht="12.75">
      <c r="A177" s="91"/>
    </row>
    <row r="178" ht="12.75">
      <c r="A178" s="91"/>
    </row>
    <row r="179" ht="12.75">
      <c r="A179" s="91"/>
    </row>
    <row r="180" ht="12.75">
      <c r="A180" s="91"/>
    </row>
    <row r="181" ht="12.75">
      <c r="A181" s="91"/>
    </row>
    <row r="182" ht="12.75">
      <c r="A182" s="91"/>
    </row>
    <row r="183" ht="12.75">
      <c r="A183" s="91"/>
    </row>
  </sheetData>
  <mergeCells count="18">
    <mergeCell ref="BK100:BL100"/>
    <mergeCell ref="BK99:BL99"/>
    <mergeCell ref="BB92:BB93"/>
    <mergeCell ref="BC92:BC94"/>
    <mergeCell ref="BK45:BL46"/>
    <mergeCell ref="AY2:BJ4"/>
    <mergeCell ref="AH3:AH4"/>
    <mergeCell ref="AU3:AU4"/>
    <mergeCell ref="AL2:AW2"/>
    <mergeCell ref="B2:L2"/>
    <mergeCell ref="N2:X2"/>
    <mergeCell ref="Z2:AJ2"/>
    <mergeCell ref="AO102:AR103"/>
    <mergeCell ref="AS102:AS103"/>
    <mergeCell ref="AU102:AU103"/>
    <mergeCell ref="AU99:AU101"/>
    <mergeCell ref="A1:L1"/>
    <mergeCell ref="AL1:AW1"/>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G62"/>
  <sheetViews>
    <sheetView workbookViewId="0" topLeftCell="A1">
      <pane xSplit="3" ySplit="4" topLeftCell="D5" activePane="bottomRight" state="frozen"/>
      <selection pane="topRight" activeCell="D1" sqref="D1"/>
      <selection pane="bottomLeft" activeCell="A5" sqref="A5"/>
      <selection pane="bottomRight" activeCell="B41" sqref="B41"/>
    </sheetView>
  </sheetViews>
  <sheetFormatPr defaultColWidth="9.140625" defaultRowHeight="12.75"/>
  <cols>
    <col min="1" max="1" width="36.8515625" style="0" customWidth="1"/>
    <col min="2" max="2" width="11.00390625" style="0" customWidth="1"/>
    <col min="3" max="3" width="11.421875" style="0" customWidth="1"/>
    <col min="4" max="4" width="10.57421875" style="0" customWidth="1"/>
    <col min="5" max="5" width="10.28125" style="0" customWidth="1"/>
    <col min="6" max="6" width="10.00390625" style="0" hidden="1" customWidth="1"/>
    <col min="7" max="7" width="1.1484375" style="0" hidden="1" customWidth="1"/>
    <col min="8" max="8" width="7.8515625" style="4" customWidth="1"/>
    <col min="9" max="10" width="8.421875" style="4" hidden="1" customWidth="1"/>
    <col min="11" max="11" width="12.421875" style="0" customWidth="1"/>
    <col min="12" max="13" width="9.140625" style="0" hidden="1" customWidth="1"/>
    <col min="14" max="14" width="11.140625" style="0" customWidth="1"/>
    <col min="15" max="16" width="10.7109375" style="0" hidden="1" customWidth="1"/>
    <col min="17" max="17" width="7.28125" style="0" customWidth="1"/>
    <col min="18" max="19" width="8.7109375" style="0" hidden="1" customWidth="1"/>
    <col min="20" max="20" width="9.28125" style="317" customWidth="1"/>
    <col min="21" max="22" width="10.7109375" style="317" hidden="1" customWidth="1"/>
    <col min="23" max="23" width="10.140625" style="317" customWidth="1"/>
    <col min="24" max="25" width="10.7109375" style="317" hidden="1" customWidth="1"/>
    <col min="26" max="26" width="8.421875" style="4" customWidth="1"/>
    <col min="27" max="27" width="8.8515625" style="317" customWidth="1"/>
    <col min="28" max="28" width="10.7109375" style="317" hidden="1" customWidth="1"/>
    <col min="29" max="29" width="9.140625" style="317" hidden="1" customWidth="1"/>
    <col min="30" max="30" width="8.00390625" style="317" customWidth="1"/>
    <col min="31" max="32" width="9.140625" style="317" hidden="1" customWidth="1"/>
    <col min="33" max="33" width="10.57421875" style="317" customWidth="1"/>
    <col min="34" max="35" width="9.140625" style="317" hidden="1" customWidth="1"/>
    <col min="36" max="36" width="8.140625" style="317" customWidth="1"/>
    <col min="37" max="38" width="9.140625" style="317" hidden="1" customWidth="1"/>
    <col min="39" max="39" width="8.57421875" style="317" customWidth="1"/>
    <col min="40" max="41" width="9.140625" style="317" hidden="1" customWidth="1"/>
    <col min="42" max="42" width="8.421875" style="4" customWidth="1"/>
    <col min="43" max="43" width="10.421875" style="317" customWidth="1"/>
    <col min="44" max="45" width="9.140625" style="0" hidden="1" customWidth="1"/>
    <col min="46" max="46" width="10.00390625" style="328" customWidth="1"/>
    <col min="47" max="48" width="10.00390625" style="328" hidden="1" customWidth="1"/>
    <col min="49" max="49" width="8.28125" style="317" customWidth="1"/>
    <col min="50" max="51" width="10.00390625" style="328" hidden="1" customWidth="1"/>
    <col min="52" max="52" width="11.00390625" style="317" customWidth="1"/>
    <col min="53" max="53" width="10.00390625" style="317" hidden="1" customWidth="1"/>
    <col min="54" max="54" width="0.13671875" style="317" customWidth="1"/>
    <col min="55" max="55" width="9.00390625" style="317" customWidth="1"/>
    <col min="56" max="57" width="10.00390625" style="317" hidden="1" customWidth="1"/>
    <col min="58" max="58" width="9.140625" style="4" customWidth="1"/>
    <col min="59" max="59" width="9.7109375" style="317" customWidth="1"/>
    <col min="60" max="61" width="9.140625" style="0" hidden="1" customWidth="1"/>
    <col min="63" max="64" width="9.140625" style="0" hidden="1" customWidth="1"/>
    <col min="65" max="65" width="10.421875" style="0" customWidth="1"/>
    <col min="66" max="67" width="9.140625" style="0" hidden="1" customWidth="1"/>
    <col min="68" max="68" width="8.140625" style="0" customWidth="1"/>
    <col min="69" max="70" width="9.140625" style="0" hidden="1" customWidth="1"/>
    <col min="71" max="71" width="8.57421875" style="0" customWidth="1"/>
    <col min="72" max="72" width="8.140625" style="0" customWidth="1"/>
    <col min="73" max="73" width="8.7109375" style="0" customWidth="1"/>
    <col min="74" max="75" width="9.140625" style="0" hidden="1" customWidth="1"/>
    <col min="76" max="76" width="9.28125" style="4" customWidth="1"/>
    <col min="77" max="77" width="8.00390625" style="0" customWidth="1"/>
    <col min="78" max="79" width="9.140625" style="0" hidden="1" customWidth="1"/>
    <col min="80" max="80" width="7.8515625" style="0" customWidth="1"/>
    <col min="81" max="81" width="8.28125" style="0" customWidth="1"/>
    <col min="82" max="82" width="9.00390625" style="0" customWidth="1"/>
    <col min="83" max="84" width="9.140625" style="0" hidden="1" customWidth="1"/>
    <col min="85" max="85" width="9.140625" style="4" customWidth="1"/>
    <col min="86" max="86" width="11.00390625" style="0" customWidth="1"/>
    <col min="87" max="88" width="9.140625" style="0" hidden="1" customWidth="1"/>
    <col min="89" max="89" width="10.421875" style="0" customWidth="1"/>
    <col min="90" max="91" width="9.140625" style="0" hidden="1" customWidth="1"/>
    <col min="92" max="92" width="10.7109375" style="0" customWidth="1"/>
    <col min="93" max="94" width="9.140625" style="0" hidden="1" customWidth="1"/>
    <col min="95" max="95" width="13.00390625" style="0" customWidth="1"/>
    <col min="96" max="97" width="9.140625" style="0" hidden="1" customWidth="1"/>
    <col min="99" max="100" width="9.140625" style="0" hidden="1" customWidth="1"/>
    <col min="102" max="103" width="9.140625" style="0" hidden="1" customWidth="1"/>
    <col min="104" max="104" width="7.57421875" style="0" customWidth="1"/>
    <col min="105" max="105" width="7.421875" style="0" customWidth="1"/>
    <col min="106" max="106" width="10.8515625" style="0" customWidth="1"/>
    <col min="107" max="108" width="9.140625" style="0" customWidth="1"/>
  </cols>
  <sheetData>
    <row r="1" spans="1:108" ht="14.25" customHeight="1">
      <c r="A1" s="1469" t="s">
        <v>142</v>
      </c>
      <c r="B1" s="1472" t="s">
        <v>143</v>
      </c>
      <c r="C1" s="1475" t="s">
        <v>144</v>
      </c>
      <c r="D1" s="342" t="s">
        <v>147</v>
      </c>
      <c r="E1" s="1532" t="s">
        <v>222</v>
      </c>
      <c r="F1" s="1490"/>
      <c r="G1" s="1490"/>
      <c r="H1" s="1490"/>
      <c r="I1" s="1490"/>
      <c r="J1" s="1490"/>
      <c r="K1" s="1490"/>
      <c r="L1" s="1490"/>
      <c r="M1" s="1490"/>
      <c r="N1" s="1490"/>
      <c r="O1" s="1490"/>
      <c r="P1" s="1490"/>
      <c r="Q1" s="1490"/>
      <c r="R1" s="1490"/>
      <c r="S1" s="1490"/>
      <c r="T1" s="1490"/>
      <c r="U1" s="1490"/>
      <c r="V1" s="1490"/>
      <c r="W1" s="1490"/>
      <c r="X1" s="1490"/>
      <c r="Y1" s="1490"/>
      <c r="Z1" s="1490"/>
      <c r="AA1" s="1490"/>
      <c r="AB1" s="1490"/>
      <c r="AC1" s="1490"/>
      <c r="AD1" s="1490"/>
      <c r="AE1" s="1490"/>
      <c r="AF1" s="1490"/>
      <c r="AG1" s="1490"/>
      <c r="AH1" s="1490"/>
      <c r="AI1" s="1490"/>
      <c r="AJ1" s="1490"/>
      <c r="AK1" s="1490"/>
      <c r="AL1" s="1490"/>
      <c r="AM1" s="1490"/>
      <c r="AN1" s="1490"/>
      <c r="AO1" s="1490"/>
      <c r="AP1" s="1490"/>
      <c r="AQ1" s="1490"/>
      <c r="AR1" s="1490"/>
      <c r="AS1" s="1490"/>
      <c r="AT1" s="1490"/>
      <c r="AU1" s="1490"/>
      <c r="AV1" s="1490"/>
      <c r="AW1" s="1490"/>
      <c r="AX1" s="1490"/>
      <c r="AY1" s="1490"/>
      <c r="AZ1" s="1490"/>
      <c r="BA1" s="1490"/>
      <c r="BB1" s="1490"/>
      <c r="BC1" s="1490"/>
      <c r="BD1" s="1490"/>
      <c r="BE1" s="1490"/>
      <c r="BF1" s="1490"/>
      <c r="BG1" s="1490"/>
      <c r="BH1" s="1490"/>
      <c r="BI1" s="1490"/>
      <c r="BJ1" s="1490"/>
      <c r="BK1" s="1490"/>
      <c r="BL1" s="1490"/>
      <c r="BM1" s="1490"/>
      <c r="BN1" s="1490"/>
      <c r="BO1" s="1499"/>
      <c r="BP1" s="1498" t="s">
        <v>250</v>
      </c>
      <c r="BQ1" s="1490"/>
      <c r="BR1" s="1490"/>
      <c r="BS1" s="1490"/>
      <c r="BT1" s="1490"/>
      <c r="BU1" s="1490"/>
      <c r="BV1" s="1490"/>
      <c r="BW1" s="1490"/>
      <c r="BX1" s="1490"/>
      <c r="BY1" s="1490"/>
      <c r="BZ1" s="1490"/>
      <c r="CA1" s="1490"/>
      <c r="CB1" s="1490"/>
      <c r="CC1" s="1490"/>
      <c r="CD1" s="1490"/>
      <c r="CE1" s="1490"/>
      <c r="CF1" s="1490"/>
      <c r="CG1" s="1490"/>
      <c r="CH1" s="1499"/>
      <c r="CI1" s="332"/>
      <c r="CJ1" s="332"/>
      <c r="CK1" s="1489" t="s">
        <v>145</v>
      </c>
      <c r="CL1" s="1490"/>
      <c r="CM1" s="1490"/>
      <c r="CN1" s="1491"/>
      <c r="CO1" s="332"/>
      <c r="CP1" s="332"/>
      <c r="CQ1" s="1503" t="s">
        <v>146</v>
      </c>
      <c r="CR1" s="1504"/>
      <c r="CS1" s="1504"/>
      <c r="CT1" s="1505"/>
      <c r="CU1" s="1505"/>
      <c r="CV1" s="1505"/>
      <c r="CW1" s="1505"/>
      <c r="CX1" s="1505"/>
      <c r="CY1" s="1505"/>
      <c r="CZ1" s="1505"/>
      <c r="DA1" s="1506"/>
      <c r="DB1" s="1511" t="s">
        <v>147</v>
      </c>
      <c r="DC1" s="91"/>
      <c r="DD1" s="91"/>
    </row>
    <row r="2" spans="1:108" ht="17.25" customHeight="1">
      <c r="A2" s="1470"/>
      <c r="B2" s="1473"/>
      <c r="C2" s="1476"/>
      <c r="D2" s="343"/>
      <c r="E2" s="1425" t="s">
        <v>214</v>
      </c>
      <c r="F2" s="1426"/>
      <c r="G2" s="1426"/>
      <c r="H2" s="1426"/>
      <c r="I2" s="1426"/>
      <c r="J2" s="1426"/>
      <c r="K2" s="1426"/>
      <c r="L2" s="1426"/>
      <c r="M2" s="1495"/>
      <c r="N2" s="1514" t="s">
        <v>254</v>
      </c>
      <c r="O2" s="1493"/>
      <c r="P2" s="1493"/>
      <c r="Q2" s="1493"/>
      <c r="R2" s="1493"/>
      <c r="S2" s="1493"/>
      <c r="T2" s="1493"/>
      <c r="U2" s="1493"/>
      <c r="V2" s="1493"/>
      <c r="W2" s="1493"/>
      <c r="X2" s="320"/>
      <c r="Y2" s="319"/>
      <c r="Z2" s="535"/>
      <c r="AA2" s="1486" t="s">
        <v>206</v>
      </c>
      <c r="AB2" s="1487"/>
      <c r="AC2" s="1487"/>
      <c r="AD2" s="1487"/>
      <c r="AE2" s="1487"/>
      <c r="AF2" s="1487"/>
      <c r="AG2" s="1487"/>
      <c r="AH2" s="1487"/>
      <c r="AI2" s="1487"/>
      <c r="AJ2" s="1487"/>
      <c r="AK2" s="1487"/>
      <c r="AL2" s="1487"/>
      <c r="AM2" s="1487"/>
      <c r="AN2" s="1487"/>
      <c r="AO2" s="1487"/>
      <c r="AP2" s="1488"/>
      <c r="AQ2" s="1486" t="s">
        <v>150</v>
      </c>
      <c r="AR2" s="1487"/>
      <c r="AS2" s="1487"/>
      <c r="AT2" s="1487"/>
      <c r="AU2" s="1487"/>
      <c r="AV2" s="1487"/>
      <c r="AW2" s="1487"/>
      <c r="AX2" s="1487"/>
      <c r="AY2" s="1487"/>
      <c r="AZ2" s="1487"/>
      <c r="BA2" s="1487"/>
      <c r="BB2" s="1487"/>
      <c r="BC2" s="1487"/>
      <c r="BD2" s="1487"/>
      <c r="BE2" s="1488"/>
      <c r="BF2" s="537"/>
      <c r="BG2" s="1513" t="s">
        <v>213</v>
      </c>
      <c r="BH2" s="1513"/>
      <c r="BI2" s="1513"/>
      <c r="BJ2" s="1513"/>
      <c r="BK2" s="330"/>
      <c r="BL2" s="330"/>
      <c r="BM2" s="286" t="s">
        <v>149</v>
      </c>
      <c r="BN2" s="287"/>
      <c r="BO2" s="287"/>
      <c r="BP2" s="1467" t="s">
        <v>247</v>
      </c>
      <c r="BQ2" s="1467"/>
      <c r="BR2" s="1467"/>
      <c r="BS2" s="1467"/>
      <c r="BT2" s="1467"/>
      <c r="BU2" s="1500" t="s">
        <v>151</v>
      </c>
      <c r="BV2" s="521"/>
      <c r="BW2" s="521"/>
      <c r="BX2" s="1534" t="s">
        <v>271</v>
      </c>
      <c r="BY2" s="1468" t="s">
        <v>248</v>
      </c>
      <c r="BZ2" s="1468"/>
      <c r="CA2" s="1468"/>
      <c r="CB2" s="1468"/>
      <c r="CC2" s="1468"/>
      <c r="CD2" s="1536" t="s">
        <v>249</v>
      </c>
      <c r="CE2" s="330"/>
      <c r="CF2" s="330"/>
      <c r="CG2" s="1501" t="s">
        <v>270</v>
      </c>
      <c r="CH2" s="286" t="s">
        <v>331</v>
      </c>
      <c r="CI2" s="287"/>
      <c r="CJ2" s="287"/>
      <c r="CK2" s="288" t="s">
        <v>148</v>
      </c>
      <c r="CL2" s="289"/>
      <c r="CM2" s="289"/>
      <c r="CN2" s="290" t="s">
        <v>331</v>
      </c>
      <c r="CO2" s="289"/>
      <c r="CP2" s="289"/>
      <c r="CQ2" s="1507"/>
      <c r="CR2" s="1508"/>
      <c r="CS2" s="1508"/>
      <c r="CT2" s="1509"/>
      <c r="CU2" s="1509"/>
      <c r="CV2" s="1509"/>
      <c r="CW2" s="1509"/>
      <c r="CX2" s="1509"/>
      <c r="CY2" s="1509"/>
      <c r="CZ2" s="1509"/>
      <c r="DA2" s="1510"/>
      <c r="DB2" s="1512"/>
      <c r="DC2" s="91"/>
      <c r="DD2" s="91"/>
    </row>
    <row r="3" spans="1:108" ht="21.75" customHeight="1">
      <c r="A3" s="1470"/>
      <c r="B3" s="1473"/>
      <c r="C3" s="1476"/>
      <c r="D3" s="343"/>
      <c r="E3" s="1492" t="s">
        <v>253</v>
      </c>
      <c r="F3" s="1493"/>
      <c r="G3" s="1493"/>
      <c r="H3" s="1494"/>
      <c r="I3" s="335"/>
      <c r="J3" s="335"/>
      <c r="K3" s="1492" t="s">
        <v>221</v>
      </c>
      <c r="L3" s="1493"/>
      <c r="M3" s="1494"/>
      <c r="N3" s="1519" t="s">
        <v>157</v>
      </c>
      <c r="O3" s="1496" t="s">
        <v>158</v>
      </c>
      <c r="P3" s="1496" t="s">
        <v>159</v>
      </c>
      <c r="Q3" s="1521" t="s">
        <v>209</v>
      </c>
      <c r="R3" s="333"/>
      <c r="S3" s="333"/>
      <c r="T3" s="336" t="s">
        <v>215</v>
      </c>
      <c r="U3" s="1496" t="s">
        <v>158</v>
      </c>
      <c r="V3" s="1496" t="s">
        <v>159</v>
      </c>
      <c r="W3" s="336" t="s">
        <v>151</v>
      </c>
      <c r="X3" s="1496" t="s">
        <v>158</v>
      </c>
      <c r="Y3" s="1496" t="s">
        <v>159</v>
      </c>
      <c r="Z3" s="1484" t="s">
        <v>251</v>
      </c>
      <c r="AA3" s="1523" t="s">
        <v>157</v>
      </c>
      <c r="AB3" s="1496" t="s">
        <v>158</v>
      </c>
      <c r="AC3" s="1496" t="s">
        <v>159</v>
      </c>
      <c r="AD3" s="1521" t="s">
        <v>210</v>
      </c>
      <c r="AE3" s="1496" t="s">
        <v>158</v>
      </c>
      <c r="AF3" s="1496" t="s">
        <v>159</v>
      </c>
      <c r="AG3" s="1515" t="s">
        <v>211</v>
      </c>
      <c r="AH3" s="1496" t="s">
        <v>158</v>
      </c>
      <c r="AI3" s="1496" t="s">
        <v>159</v>
      </c>
      <c r="AJ3" s="336" t="s">
        <v>215</v>
      </c>
      <c r="AK3" s="1496" t="s">
        <v>158</v>
      </c>
      <c r="AL3" s="1496" t="s">
        <v>159</v>
      </c>
      <c r="AM3" s="336" t="s">
        <v>151</v>
      </c>
      <c r="AN3" s="1496" t="s">
        <v>158</v>
      </c>
      <c r="AO3" s="1496" t="s">
        <v>159</v>
      </c>
      <c r="AP3" s="1484" t="s">
        <v>251</v>
      </c>
      <c r="AQ3" s="1523" t="s">
        <v>157</v>
      </c>
      <c r="AR3" s="1496" t="s">
        <v>158</v>
      </c>
      <c r="AS3" s="1496" t="s">
        <v>159</v>
      </c>
      <c r="AT3" s="1515" t="s">
        <v>212</v>
      </c>
      <c r="AU3" s="1496" t="s">
        <v>158</v>
      </c>
      <c r="AV3" s="1496" t="s">
        <v>159</v>
      </c>
      <c r="AW3" s="336" t="s">
        <v>215</v>
      </c>
      <c r="AX3" s="1496" t="s">
        <v>158</v>
      </c>
      <c r="AY3" s="1496" t="s">
        <v>159</v>
      </c>
      <c r="AZ3" s="336" t="s">
        <v>216</v>
      </c>
      <c r="BA3" s="1496" t="s">
        <v>158</v>
      </c>
      <c r="BB3" s="1496" t="s">
        <v>159</v>
      </c>
      <c r="BC3" s="336" t="s">
        <v>152</v>
      </c>
      <c r="BD3" s="1496" t="s">
        <v>158</v>
      </c>
      <c r="BE3" s="1496" t="s">
        <v>159</v>
      </c>
      <c r="BF3" s="1484" t="s">
        <v>252</v>
      </c>
      <c r="BG3" s="316" t="s">
        <v>151</v>
      </c>
      <c r="BH3" s="1496" t="s">
        <v>158</v>
      </c>
      <c r="BI3" s="1496" t="s">
        <v>159</v>
      </c>
      <c r="BJ3" s="292" t="s">
        <v>152</v>
      </c>
      <c r="BK3" s="1496" t="s">
        <v>158</v>
      </c>
      <c r="BL3" s="1496" t="s">
        <v>159</v>
      </c>
      <c r="BM3" s="293" t="s">
        <v>153</v>
      </c>
      <c r="BN3" s="1496" t="s">
        <v>158</v>
      </c>
      <c r="BO3" s="1533" t="s">
        <v>159</v>
      </c>
      <c r="BP3" s="541" t="s">
        <v>256</v>
      </c>
      <c r="BQ3" s="541"/>
      <c r="BR3" s="541"/>
      <c r="BS3" s="541" t="s">
        <v>257</v>
      </c>
      <c r="BT3" s="541" t="s">
        <v>258</v>
      </c>
      <c r="BU3" s="1500"/>
      <c r="BV3" s="1496" t="s">
        <v>158</v>
      </c>
      <c r="BW3" s="1496" t="s">
        <v>159</v>
      </c>
      <c r="BX3" s="1534"/>
      <c r="BY3" s="541" t="s">
        <v>256</v>
      </c>
      <c r="BZ3" s="541"/>
      <c r="CA3" s="541"/>
      <c r="CB3" s="541" t="s">
        <v>257</v>
      </c>
      <c r="CC3" s="541" t="s">
        <v>258</v>
      </c>
      <c r="CD3" s="1537"/>
      <c r="CE3" s="1496" t="s">
        <v>158</v>
      </c>
      <c r="CF3" s="1496" t="s">
        <v>159</v>
      </c>
      <c r="CG3" s="1502"/>
      <c r="CH3" s="293" t="s">
        <v>153</v>
      </c>
      <c r="CI3" s="1496" t="s">
        <v>158</v>
      </c>
      <c r="CJ3" s="1496" t="s">
        <v>159</v>
      </c>
      <c r="CK3" s="291" t="s">
        <v>152</v>
      </c>
      <c r="CL3" s="1496" t="s">
        <v>158</v>
      </c>
      <c r="CM3" s="1496" t="s">
        <v>159</v>
      </c>
      <c r="CN3" s="293" t="s">
        <v>153</v>
      </c>
      <c r="CO3" s="1496" t="s">
        <v>158</v>
      </c>
      <c r="CP3" s="1496" t="s">
        <v>159</v>
      </c>
      <c r="CQ3" s="291" t="s">
        <v>154</v>
      </c>
      <c r="CR3" s="1496" t="s">
        <v>158</v>
      </c>
      <c r="CS3" s="1496" t="s">
        <v>159</v>
      </c>
      <c r="CT3" s="292" t="s">
        <v>155</v>
      </c>
      <c r="CU3" s="1496" t="s">
        <v>158</v>
      </c>
      <c r="CV3" s="1496" t="s">
        <v>159</v>
      </c>
      <c r="CW3" s="292" t="s">
        <v>156</v>
      </c>
      <c r="CX3" s="1496" t="s">
        <v>158</v>
      </c>
      <c r="CY3" s="1496" t="s">
        <v>159</v>
      </c>
      <c r="CZ3" s="292" t="s">
        <v>155</v>
      </c>
      <c r="DA3" s="293" t="s">
        <v>156</v>
      </c>
      <c r="DB3" s="1512"/>
      <c r="DC3" s="354"/>
      <c r="DD3" s="354"/>
    </row>
    <row r="4" spans="1:108" s="353" customFormat="1" ht="15.75" customHeight="1" thickBot="1">
      <c r="A4" s="1471"/>
      <c r="B4" s="1474"/>
      <c r="C4" s="1477"/>
      <c r="D4" s="351" t="s">
        <v>163</v>
      </c>
      <c r="E4" s="341" t="s">
        <v>157</v>
      </c>
      <c r="F4" s="323" t="s">
        <v>219</v>
      </c>
      <c r="G4" s="323" t="s">
        <v>220</v>
      </c>
      <c r="H4" s="322" t="s">
        <v>209</v>
      </c>
      <c r="I4" s="322" t="s">
        <v>158</v>
      </c>
      <c r="J4" s="322" t="s">
        <v>159</v>
      </c>
      <c r="K4" s="339" t="s">
        <v>157</v>
      </c>
      <c r="L4" s="339" t="s">
        <v>158</v>
      </c>
      <c r="M4" s="323" t="s">
        <v>159</v>
      </c>
      <c r="N4" s="1520"/>
      <c r="O4" s="1497"/>
      <c r="P4" s="1497"/>
      <c r="Q4" s="1522"/>
      <c r="R4" s="334" t="s">
        <v>158</v>
      </c>
      <c r="S4" s="334" t="s">
        <v>159</v>
      </c>
      <c r="T4" s="337" t="s">
        <v>160</v>
      </c>
      <c r="U4" s="1497"/>
      <c r="V4" s="1497"/>
      <c r="W4" s="337" t="s">
        <v>160</v>
      </c>
      <c r="X4" s="1497"/>
      <c r="Y4" s="1497"/>
      <c r="Z4" s="1485"/>
      <c r="AA4" s="1524"/>
      <c r="AB4" s="1497"/>
      <c r="AC4" s="1497"/>
      <c r="AD4" s="1522"/>
      <c r="AE4" s="1497"/>
      <c r="AF4" s="1497"/>
      <c r="AG4" s="1516"/>
      <c r="AH4" s="1497"/>
      <c r="AI4" s="1497"/>
      <c r="AJ4" s="337" t="s">
        <v>160</v>
      </c>
      <c r="AK4" s="1497"/>
      <c r="AL4" s="1497"/>
      <c r="AM4" s="337" t="s">
        <v>160</v>
      </c>
      <c r="AN4" s="1497"/>
      <c r="AO4" s="1497"/>
      <c r="AP4" s="1485"/>
      <c r="AQ4" s="1524"/>
      <c r="AR4" s="1497"/>
      <c r="AS4" s="1497"/>
      <c r="AT4" s="1516"/>
      <c r="AU4" s="1497"/>
      <c r="AV4" s="1497"/>
      <c r="AW4" s="337" t="s">
        <v>160</v>
      </c>
      <c r="AX4" s="1497"/>
      <c r="AY4" s="1497"/>
      <c r="AZ4" s="337" t="s">
        <v>160</v>
      </c>
      <c r="BA4" s="1497"/>
      <c r="BB4" s="1497"/>
      <c r="BC4" s="337" t="s">
        <v>160</v>
      </c>
      <c r="BD4" s="1497"/>
      <c r="BE4" s="1497"/>
      <c r="BF4" s="1485"/>
      <c r="BG4" s="323" t="s">
        <v>160</v>
      </c>
      <c r="BH4" s="1497"/>
      <c r="BI4" s="1497"/>
      <c r="BJ4" s="339" t="s">
        <v>160</v>
      </c>
      <c r="BK4" s="1497"/>
      <c r="BL4" s="1497"/>
      <c r="BM4" s="324" t="s">
        <v>161</v>
      </c>
      <c r="BN4" s="1497"/>
      <c r="BO4" s="1497"/>
      <c r="BP4" s="540" t="s">
        <v>160</v>
      </c>
      <c r="BQ4" s="540"/>
      <c r="BR4" s="540"/>
      <c r="BS4" s="540" t="s">
        <v>160</v>
      </c>
      <c r="BT4" s="540" t="s">
        <v>160</v>
      </c>
      <c r="BU4" s="542" t="s">
        <v>160</v>
      </c>
      <c r="BV4" s="1531"/>
      <c r="BW4" s="1531"/>
      <c r="BX4" s="1535"/>
      <c r="BY4" s="540" t="s">
        <v>160</v>
      </c>
      <c r="BZ4" s="540"/>
      <c r="CA4" s="540"/>
      <c r="CB4" s="540" t="s">
        <v>160</v>
      </c>
      <c r="CC4" s="540" t="s">
        <v>160</v>
      </c>
      <c r="CD4" s="542" t="s">
        <v>160</v>
      </c>
      <c r="CE4" s="1531"/>
      <c r="CF4" s="1531"/>
      <c r="CG4" s="1502"/>
      <c r="CH4" s="324" t="s">
        <v>161</v>
      </c>
      <c r="CI4" s="1497"/>
      <c r="CJ4" s="1497"/>
      <c r="CK4" s="321" t="s">
        <v>160</v>
      </c>
      <c r="CL4" s="1497"/>
      <c r="CM4" s="1497"/>
      <c r="CN4" s="324" t="s">
        <v>161</v>
      </c>
      <c r="CO4" s="1497"/>
      <c r="CP4" s="1497"/>
      <c r="CQ4" s="325" t="s">
        <v>157</v>
      </c>
      <c r="CR4" s="1497"/>
      <c r="CS4" s="1497"/>
      <c r="CT4" s="326" t="s">
        <v>157</v>
      </c>
      <c r="CU4" s="1497"/>
      <c r="CV4" s="1497"/>
      <c r="CW4" s="326" t="s">
        <v>157</v>
      </c>
      <c r="CX4" s="1497"/>
      <c r="CY4" s="1497"/>
      <c r="CZ4" s="1517" t="s">
        <v>162</v>
      </c>
      <c r="DA4" s="1518"/>
      <c r="DB4" s="352" t="s">
        <v>163</v>
      </c>
      <c r="DC4" s="341" t="s">
        <v>158</v>
      </c>
      <c r="DD4" s="341" t="s">
        <v>159</v>
      </c>
    </row>
    <row r="5" spans="1:108" ht="15">
      <c r="A5" s="297" t="s">
        <v>164</v>
      </c>
      <c r="B5" s="361">
        <v>1</v>
      </c>
      <c r="C5" s="363">
        <v>1</v>
      </c>
      <c r="D5" s="378">
        <v>8.421900161030596</v>
      </c>
      <c r="E5" s="379">
        <v>329325</v>
      </c>
      <c r="F5" s="380">
        <f aca="true" t="shared" si="0" ref="F5:F34">$B5*E5</f>
        <v>329325</v>
      </c>
      <c r="G5" s="380">
        <f aca="true" t="shared" si="1" ref="G5:G34">$C5*E5</f>
        <v>329325</v>
      </c>
      <c r="H5" s="383">
        <f>160/293</f>
        <v>0.5460750853242321</v>
      </c>
      <c r="I5" s="483">
        <f>$B5*H5</f>
        <v>0.5460750853242321</v>
      </c>
      <c r="J5" s="483">
        <f>$C5*H5</f>
        <v>0.5460750853242321</v>
      </c>
      <c r="K5" s="379">
        <v>57770</v>
      </c>
      <c r="L5" s="380">
        <f aca="true" t="shared" si="2" ref="L5:L19">$B5*K5</f>
        <v>57770</v>
      </c>
      <c r="M5" s="382">
        <f>$C5*K5</f>
        <v>57770</v>
      </c>
      <c r="N5" s="379">
        <v>4462163</v>
      </c>
      <c r="O5" s="380">
        <f aca="true" t="shared" si="3" ref="O5:O19">$B5*N5</f>
        <v>4462163</v>
      </c>
      <c r="P5" s="380">
        <f>$C5*N5</f>
        <v>4462163</v>
      </c>
      <c r="Q5" s="383">
        <f>2.3/4.3</f>
        <v>0.5348837209302325</v>
      </c>
      <c r="R5" s="483">
        <f>$B5*Q5</f>
        <v>0.5348837209302325</v>
      </c>
      <c r="S5" s="483">
        <f>$C5*Q5</f>
        <v>0.5348837209302325</v>
      </c>
      <c r="T5" s="379">
        <v>70700</v>
      </c>
      <c r="U5" s="380">
        <f>$B5*T5</f>
        <v>70700</v>
      </c>
      <c r="V5" s="382">
        <f>$C5*T5</f>
        <v>70700</v>
      </c>
      <c r="W5" s="379"/>
      <c r="X5" s="380"/>
      <c r="Y5" s="382"/>
      <c r="Z5" s="483"/>
      <c r="AA5" s="379">
        <v>9368</v>
      </c>
      <c r="AB5" s="380">
        <f aca="true" t="shared" si="4" ref="AB5:AB19">$B5*AA5</f>
        <v>9368</v>
      </c>
      <c r="AC5" s="380">
        <f>$C5*AA5</f>
        <v>9368</v>
      </c>
      <c r="AD5" s="384">
        <f>101/9368</f>
        <v>0.01078138343296328</v>
      </c>
      <c r="AE5" s="384">
        <f aca="true" t="shared" si="5" ref="AE5:AE14">$B5*AD5</f>
        <v>0.01078138343296328</v>
      </c>
      <c r="AF5" s="384">
        <f>$C5*AD5</f>
        <v>0.01078138343296328</v>
      </c>
      <c r="AG5" s="385">
        <f>317/9368</f>
        <v>0.03383859948761742</v>
      </c>
      <c r="AH5" s="490">
        <f aca="true" t="shared" si="6" ref="AH5:AH14">$B5*AG5</f>
        <v>0.03383859948761742</v>
      </c>
      <c r="AI5" s="490">
        <f>$C5*AG5</f>
        <v>0.03383859948761742</v>
      </c>
      <c r="AJ5" s="379">
        <v>507</v>
      </c>
      <c r="AK5" s="380">
        <f>$B5*AJ5</f>
        <v>507</v>
      </c>
      <c r="AL5" s="380">
        <f>$C5*AJ5</f>
        <v>507</v>
      </c>
      <c r="AM5" s="379">
        <v>9500</v>
      </c>
      <c r="AN5" s="380">
        <f>$B5*AM5</f>
        <v>9500</v>
      </c>
      <c r="AO5" s="382">
        <f>$C5*AM5</f>
        <v>9500</v>
      </c>
      <c r="AP5" s="483">
        <f aca="true" t="shared" si="7" ref="AP5:AP34">AM5/AJ5</f>
        <v>18.73767258382643</v>
      </c>
      <c r="AQ5" s="380">
        <v>1007522</v>
      </c>
      <c r="AR5" s="380">
        <f aca="true" t="shared" si="8" ref="AR5:AR19">$B5*AQ5</f>
        <v>1007522</v>
      </c>
      <c r="AS5" s="380">
        <f>$C5*AQ5</f>
        <v>1007522</v>
      </c>
      <c r="AT5" s="385">
        <f>(747+14379)/362990</f>
        <v>0.04167056943717458</v>
      </c>
      <c r="AU5" s="490">
        <f>$B5*AT5</f>
        <v>0.04167056943717458</v>
      </c>
      <c r="AV5" s="490">
        <f>$C5*AT5</f>
        <v>0.04167056943717458</v>
      </c>
      <c r="AW5" s="379">
        <v>4900</v>
      </c>
      <c r="AX5" s="387">
        <f aca="true" t="shared" si="9" ref="AX5:AX14">$B5*AW5</f>
        <v>4900</v>
      </c>
      <c r="AY5" s="388">
        <f>$C5*AW5</f>
        <v>4900</v>
      </c>
      <c r="AZ5" s="379">
        <v>369</v>
      </c>
      <c r="BA5" s="380">
        <f aca="true" t="shared" si="10" ref="BA5:BA14">$B5*AZ5</f>
        <v>369</v>
      </c>
      <c r="BB5" s="382">
        <f>$C5*AZ5</f>
        <v>369</v>
      </c>
      <c r="BC5" s="379">
        <v>18160</v>
      </c>
      <c r="BD5" s="380">
        <f aca="true" t="shared" si="11" ref="BD5:BD14">$B5*BC5</f>
        <v>18160</v>
      </c>
      <c r="BE5" s="382">
        <f>$C5*BC5</f>
        <v>18160</v>
      </c>
      <c r="BF5" s="483">
        <f>BC5/AW5</f>
        <v>3.706122448979592</v>
      </c>
      <c r="BG5" s="379"/>
      <c r="BH5" s="395"/>
      <c r="BI5" s="396"/>
      <c r="BJ5" s="379">
        <v>16997</v>
      </c>
      <c r="BK5" s="380">
        <f aca="true" t="shared" si="12" ref="BK5:BK19">$B5*BJ5</f>
        <v>16997</v>
      </c>
      <c r="BL5" s="382">
        <f>$C5*BJ5</f>
        <v>16997</v>
      </c>
      <c r="BM5" s="524">
        <v>21220</v>
      </c>
      <c r="BN5" s="380">
        <f aca="true" t="shared" si="13" ref="BN5:BN19">$B5*BM5</f>
        <v>21220</v>
      </c>
      <c r="BO5" s="380">
        <f>$C5*BM5</f>
        <v>21220</v>
      </c>
      <c r="BP5" s="543">
        <v>25878</v>
      </c>
      <c r="BQ5" s="544"/>
      <c r="BR5" s="544"/>
      <c r="BS5" s="544"/>
      <c r="BT5" s="544"/>
      <c r="BU5" s="559">
        <v>10876</v>
      </c>
      <c r="BV5" s="545">
        <f>$B5*BU5</f>
        <v>10876</v>
      </c>
      <c r="BW5" s="545">
        <f>$C5*BU5</f>
        <v>10876</v>
      </c>
      <c r="BX5" s="546">
        <f>BP5/BU5</f>
        <v>2.3793674144906216</v>
      </c>
      <c r="BY5" s="543">
        <v>38122</v>
      </c>
      <c r="BZ5" s="552"/>
      <c r="CA5" s="552"/>
      <c r="CB5" s="552"/>
      <c r="CC5" s="552"/>
      <c r="CD5" s="570">
        <v>20345</v>
      </c>
      <c r="CE5" s="552">
        <f>$B5*CD5</f>
        <v>20345</v>
      </c>
      <c r="CF5" s="553">
        <f>$C5*CD5</f>
        <v>20345</v>
      </c>
      <c r="CG5" s="554">
        <f>BY5/CD5</f>
        <v>1.8737773408699927</v>
      </c>
      <c r="CH5" s="379">
        <v>160</v>
      </c>
      <c r="CI5" s="380">
        <f>$B5*CH5</f>
        <v>160</v>
      </c>
      <c r="CJ5" s="382">
        <f>$C5*CH5</f>
        <v>160</v>
      </c>
      <c r="CK5" s="379">
        <v>2123</v>
      </c>
      <c r="CL5" s="380">
        <f>$B5*CK5</f>
        <v>2123</v>
      </c>
      <c r="CM5" s="382">
        <f>$C5*CK5</f>
        <v>2123</v>
      </c>
      <c r="CN5" s="379">
        <v>30</v>
      </c>
      <c r="CO5" s="380">
        <f>$B5*CN5</f>
        <v>30</v>
      </c>
      <c r="CP5" s="382">
        <f>$C5*CN5</f>
        <v>30</v>
      </c>
      <c r="CQ5" s="379">
        <v>35129</v>
      </c>
      <c r="CR5" s="380">
        <f aca="true" t="shared" si="14" ref="CR5:CR19">$B5*CQ5</f>
        <v>35129</v>
      </c>
      <c r="CS5" s="382">
        <f>$C5*CQ5</f>
        <v>35129</v>
      </c>
      <c r="CT5" s="379">
        <v>523</v>
      </c>
      <c r="CU5" s="380">
        <f aca="true" t="shared" si="15" ref="CU5:CU19">$B5*CT5</f>
        <v>523</v>
      </c>
      <c r="CV5" s="382">
        <f>$C5*CT5</f>
        <v>523</v>
      </c>
      <c r="CW5" s="379">
        <v>45025</v>
      </c>
      <c r="CX5" s="380">
        <f>$B5*CW5</f>
        <v>45025</v>
      </c>
      <c r="CY5" s="382">
        <f aca="true" t="shared" si="16" ref="CY5:CY34">$C5*CW5</f>
        <v>45025</v>
      </c>
      <c r="CZ5" s="391">
        <v>62.1</v>
      </c>
      <c r="DA5" s="380">
        <v>5345</v>
      </c>
      <c r="DB5" s="392">
        <f aca="true" t="shared" si="17" ref="DB5:DB34">CT5/CZ5</f>
        <v>8.421900161030596</v>
      </c>
      <c r="DC5" s="296">
        <f>$B5*DB5</f>
        <v>8.421900161030596</v>
      </c>
      <c r="DD5" s="296">
        <f>$C5*DB5</f>
        <v>8.421900161030596</v>
      </c>
    </row>
    <row r="6" spans="1:108" ht="15">
      <c r="A6" s="297" t="s">
        <v>165</v>
      </c>
      <c r="B6" s="361">
        <v>1</v>
      </c>
      <c r="C6" s="363">
        <v>1</v>
      </c>
      <c r="D6" s="378">
        <v>11.014120667522464</v>
      </c>
      <c r="E6" s="498">
        <v>577382</v>
      </c>
      <c r="F6" s="380">
        <f t="shared" si="0"/>
        <v>577382</v>
      </c>
      <c r="G6" s="380">
        <f t="shared" si="1"/>
        <v>577382</v>
      </c>
      <c r="H6" s="383">
        <f>423/540</f>
        <v>0.7833333333333333</v>
      </c>
      <c r="I6" s="483">
        <f>$B6*H6</f>
        <v>0.7833333333333333</v>
      </c>
      <c r="J6" s="483">
        <f>$C6*H6</f>
        <v>0.7833333333333333</v>
      </c>
      <c r="K6" s="498">
        <v>71392</v>
      </c>
      <c r="L6" s="380">
        <f t="shared" si="2"/>
        <v>71392</v>
      </c>
      <c r="M6" s="382">
        <f>$C6*K6</f>
        <v>71392</v>
      </c>
      <c r="N6" s="498">
        <v>5407000</v>
      </c>
      <c r="O6" s="380">
        <f t="shared" si="3"/>
        <v>5407000</v>
      </c>
      <c r="P6" s="380">
        <f>$C6*N6</f>
        <v>5407000</v>
      </c>
      <c r="Q6" s="383">
        <f>2.9/5.1</f>
        <v>0.5686274509803921</v>
      </c>
      <c r="R6" s="483">
        <f>$B6*Q6</f>
        <v>0.5686274509803921</v>
      </c>
      <c r="S6" s="483">
        <f>$C6*Q6</f>
        <v>0.5686274509803921</v>
      </c>
      <c r="T6" s="379">
        <v>78000</v>
      </c>
      <c r="U6" s="380">
        <f>$B6*T6</f>
        <v>78000</v>
      </c>
      <c r="V6" s="382">
        <f>$C6*T6</f>
        <v>78000</v>
      </c>
      <c r="W6" s="379">
        <v>112000</v>
      </c>
      <c r="X6" s="380">
        <f>$B6*W6</f>
        <v>112000</v>
      </c>
      <c r="Y6" s="382">
        <f>$C6*W6</f>
        <v>112000</v>
      </c>
      <c r="Z6" s="483">
        <f>W6/T6</f>
        <v>1.435897435897436</v>
      </c>
      <c r="AA6" s="379">
        <v>15391</v>
      </c>
      <c r="AB6" s="380">
        <f t="shared" si="4"/>
        <v>15391</v>
      </c>
      <c r="AC6" s="380">
        <f>$C6*AA6</f>
        <v>15391</v>
      </c>
      <c r="AD6" s="384">
        <f>19/15992</f>
        <v>0.0011880940470235118</v>
      </c>
      <c r="AE6" s="384">
        <f t="shared" si="5"/>
        <v>0.0011880940470235118</v>
      </c>
      <c r="AF6" s="384">
        <f>$C6*AD6</f>
        <v>0.0011880940470235118</v>
      </c>
      <c r="AG6" s="385">
        <f>259/15992</f>
        <v>0.01619559779889945</v>
      </c>
      <c r="AH6" s="490">
        <f t="shared" si="6"/>
        <v>0.01619559779889945</v>
      </c>
      <c r="AI6" s="490">
        <f>$C6*AG6</f>
        <v>0.01619559779889945</v>
      </c>
      <c r="AJ6" s="379">
        <v>820</v>
      </c>
      <c r="AK6" s="380">
        <f>$B6*AJ6</f>
        <v>820</v>
      </c>
      <c r="AL6" s="380">
        <f>$C6*AJ6</f>
        <v>820</v>
      </c>
      <c r="AM6" s="379">
        <v>20370</v>
      </c>
      <c r="AN6" s="380">
        <f>$B6*AM6</f>
        <v>20370</v>
      </c>
      <c r="AO6" s="382">
        <f>$C6*AM6</f>
        <v>20370</v>
      </c>
      <c r="AP6" s="483">
        <f t="shared" si="7"/>
        <v>24.841463414634145</v>
      </c>
      <c r="AQ6" s="389">
        <v>761214</v>
      </c>
      <c r="AR6" s="380">
        <f t="shared" si="8"/>
        <v>761214</v>
      </c>
      <c r="AS6" s="380">
        <f>$C6*AQ6</f>
        <v>761214</v>
      </c>
      <c r="AT6" s="385">
        <f>(34+17)/662</f>
        <v>0.0770392749244713</v>
      </c>
      <c r="AU6" s="490">
        <f>$B6*AT6</f>
        <v>0.0770392749244713</v>
      </c>
      <c r="AV6" s="490">
        <f>$C6*AT6</f>
        <v>0.0770392749244713</v>
      </c>
      <c r="AW6" s="379">
        <v>18790</v>
      </c>
      <c r="AX6" s="387">
        <f t="shared" si="9"/>
        <v>18790</v>
      </c>
      <c r="AY6" s="388">
        <f>$C6*AW6</f>
        <v>18790</v>
      </c>
      <c r="AZ6" s="379">
        <v>318</v>
      </c>
      <c r="BA6" s="380">
        <f t="shared" si="10"/>
        <v>318</v>
      </c>
      <c r="BB6" s="382">
        <f>$C6*AZ6</f>
        <v>318</v>
      </c>
      <c r="BC6" s="379">
        <v>33356</v>
      </c>
      <c r="BD6" s="380">
        <f t="shared" si="11"/>
        <v>33356</v>
      </c>
      <c r="BE6" s="382">
        <f>$C6*BC6</f>
        <v>33356</v>
      </c>
      <c r="BF6" s="483">
        <f aca="true" t="shared" si="18" ref="BF6:BF34">BC6/AW6</f>
        <v>1.7751995742416178</v>
      </c>
      <c r="BG6" s="498"/>
      <c r="BH6" s="395"/>
      <c r="BI6" s="396"/>
      <c r="BJ6" s="498">
        <v>33107</v>
      </c>
      <c r="BK6" s="380">
        <f t="shared" si="12"/>
        <v>33107</v>
      </c>
      <c r="BL6" s="382">
        <f>$C6*BJ6</f>
        <v>33107</v>
      </c>
      <c r="BM6" s="525">
        <v>24230</v>
      </c>
      <c r="BN6" s="380">
        <f t="shared" si="13"/>
        <v>24230</v>
      </c>
      <c r="BO6" s="380">
        <f>$C6*BM6</f>
        <v>24230</v>
      </c>
      <c r="BP6" s="379">
        <v>26287</v>
      </c>
      <c r="BQ6" s="380">
        <f aca="true" t="shared" si="19" ref="BQ6:BQ31">$B6*BP6</f>
        <v>26287</v>
      </c>
      <c r="BR6" s="380">
        <f aca="true" t="shared" si="20" ref="BR6:BR33">$C6*BP6</f>
        <v>26287</v>
      </c>
      <c r="BS6" s="404">
        <f>8917+16343</f>
        <v>25260</v>
      </c>
      <c r="BT6" s="404">
        <f>18+1009</f>
        <v>1027</v>
      </c>
      <c r="BU6" s="560">
        <v>10403</v>
      </c>
      <c r="BV6" s="395"/>
      <c r="BW6" s="395"/>
      <c r="BX6" s="576">
        <f>BP6/BU6</f>
        <v>2.5268672498317795</v>
      </c>
      <c r="BY6" s="555">
        <v>18794</v>
      </c>
      <c r="BZ6" s="395">
        <f aca="true" t="shared" si="21" ref="BZ6:BZ31">$B6*BY6</f>
        <v>18794</v>
      </c>
      <c r="CA6" s="395">
        <f aca="true" t="shared" si="22" ref="CA6:CA33">$C6*BY6</f>
        <v>18794</v>
      </c>
      <c r="CB6" s="571">
        <v>14761</v>
      </c>
      <c r="CC6" s="571">
        <v>4033</v>
      </c>
      <c r="CD6" s="577">
        <v>7882</v>
      </c>
      <c r="CE6" s="571"/>
      <c r="CF6" s="578"/>
      <c r="CG6" s="576">
        <f>BY6/CD6</f>
        <v>2.38442019791931</v>
      </c>
      <c r="CH6" s="498">
        <v>100</v>
      </c>
      <c r="CI6" s="380">
        <f>$B6*CH6</f>
        <v>100</v>
      </c>
      <c r="CJ6" s="382">
        <f>$C6*CH6</f>
        <v>100</v>
      </c>
      <c r="CK6" s="498">
        <v>9251</v>
      </c>
      <c r="CL6" s="389">
        <f>$B6*CK6</f>
        <v>9251</v>
      </c>
      <c r="CM6" s="390">
        <f>$C6*CK6</f>
        <v>9251</v>
      </c>
      <c r="CN6" s="498">
        <v>480</v>
      </c>
      <c r="CO6" s="380">
        <f>$B6*CN6</f>
        <v>480</v>
      </c>
      <c r="CP6" s="382">
        <f>$C6*CN6</f>
        <v>480</v>
      </c>
      <c r="CQ6" s="498">
        <v>47924</v>
      </c>
      <c r="CR6" s="380">
        <f t="shared" si="14"/>
        <v>47924</v>
      </c>
      <c r="CS6" s="382">
        <f>$C6*CQ6</f>
        <v>47924</v>
      </c>
      <c r="CT6" s="498">
        <v>858</v>
      </c>
      <c r="CU6" s="380">
        <f t="shared" si="15"/>
        <v>858</v>
      </c>
      <c r="CV6" s="382">
        <f>$C6*CT6</f>
        <v>858</v>
      </c>
      <c r="CW6" s="498">
        <v>62801</v>
      </c>
      <c r="CX6" s="380">
        <f>$B6*CW6</f>
        <v>62801</v>
      </c>
      <c r="CY6" s="382">
        <f t="shared" si="16"/>
        <v>62801</v>
      </c>
      <c r="CZ6" s="499">
        <v>77.9</v>
      </c>
      <c r="DA6" s="389">
        <v>5698</v>
      </c>
      <c r="DB6" s="392">
        <f t="shared" si="17"/>
        <v>11.014120667522464</v>
      </c>
      <c r="DC6" s="296">
        <f aca="true" t="shared" si="23" ref="DC6:DC34">$B6*DB6</f>
        <v>11.014120667522464</v>
      </c>
      <c r="DD6" s="296">
        <f aca="true" t="shared" si="24" ref="DD6:DD34">$C6*DB6</f>
        <v>11.014120667522464</v>
      </c>
    </row>
    <row r="7" spans="1:108" ht="15">
      <c r="A7" s="297" t="s">
        <v>166</v>
      </c>
      <c r="B7" s="361">
        <v>1</v>
      </c>
      <c r="C7" s="299" t="s">
        <v>167</v>
      </c>
      <c r="D7" s="419">
        <v>7.348993288590604</v>
      </c>
      <c r="E7" s="420">
        <v>191430</v>
      </c>
      <c r="F7" s="421">
        <f t="shared" si="0"/>
        <v>191430</v>
      </c>
      <c r="G7" s="421">
        <f t="shared" si="1"/>
        <v>0</v>
      </c>
      <c r="H7" s="433"/>
      <c r="I7" s="500"/>
      <c r="J7" s="500"/>
      <c r="K7" s="420">
        <v>32134</v>
      </c>
      <c r="L7" s="421">
        <f t="shared" si="2"/>
        <v>32134</v>
      </c>
      <c r="M7" s="423"/>
      <c r="N7" s="420">
        <v>2694821</v>
      </c>
      <c r="O7" s="421">
        <f t="shared" si="3"/>
        <v>2694821</v>
      </c>
      <c r="P7" s="421"/>
      <c r="Q7" s="433"/>
      <c r="R7" s="500"/>
      <c r="S7" s="500"/>
      <c r="T7" s="424"/>
      <c r="U7" s="421"/>
      <c r="V7" s="423"/>
      <c r="W7" s="424"/>
      <c r="X7" s="421"/>
      <c r="Y7" s="423"/>
      <c r="Z7" s="510"/>
      <c r="AA7" s="424">
        <v>25249</v>
      </c>
      <c r="AB7" s="421">
        <f t="shared" si="4"/>
        <v>25249</v>
      </c>
      <c r="AC7" s="421"/>
      <c r="AD7" s="425">
        <f>627/25249</f>
        <v>0.02483266664026298</v>
      </c>
      <c r="AE7" s="425">
        <f t="shared" si="5"/>
        <v>0.02483266664026298</v>
      </c>
      <c r="AF7" s="425"/>
      <c r="AG7" s="426">
        <v>0.0001</v>
      </c>
      <c r="AH7" s="501">
        <f t="shared" si="6"/>
        <v>0.0001</v>
      </c>
      <c r="AI7" s="501"/>
      <c r="AJ7" s="420">
        <v>519</v>
      </c>
      <c r="AK7" s="421">
        <f>$B7*AJ7</f>
        <v>519</v>
      </c>
      <c r="AL7" s="421"/>
      <c r="AM7" s="420">
        <v>12000</v>
      </c>
      <c r="AN7" s="421">
        <f>$B7*AM7</f>
        <v>12000</v>
      </c>
      <c r="AO7" s="423"/>
      <c r="AP7" s="510">
        <f t="shared" si="7"/>
        <v>23.121387283236995</v>
      </c>
      <c r="AQ7" s="421">
        <v>400311</v>
      </c>
      <c r="AR7" s="421">
        <f t="shared" si="8"/>
        <v>400311</v>
      </c>
      <c r="AS7" s="421"/>
      <c r="AT7" s="502"/>
      <c r="AU7" s="503"/>
      <c r="AV7" s="503"/>
      <c r="AW7" s="424">
        <v>1176</v>
      </c>
      <c r="AX7" s="504">
        <f t="shared" si="9"/>
        <v>1176</v>
      </c>
      <c r="AY7" s="505"/>
      <c r="AZ7" s="424">
        <v>176</v>
      </c>
      <c r="BA7" s="506">
        <f t="shared" si="10"/>
        <v>176</v>
      </c>
      <c r="BB7" s="507"/>
      <c r="BC7" s="424">
        <v>15321</v>
      </c>
      <c r="BD7" s="506">
        <f t="shared" si="11"/>
        <v>15321</v>
      </c>
      <c r="BE7" s="507"/>
      <c r="BF7" s="500">
        <f t="shared" si="18"/>
        <v>13.028061224489797</v>
      </c>
      <c r="BG7" s="420">
        <v>10843</v>
      </c>
      <c r="BH7" s="421">
        <f>$B7*BG7</f>
        <v>10843</v>
      </c>
      <c r="BI7" s="423"/>
      <c r="BJ7" s="420">
        <v>21212</v>
      </c>
      <c r="BK7" s="421">
        <f t="shared" si="12"/>
        <v>21212</v>
      </c>
      <c r="BL7" s="423"/>
      <c r="BM7" s="526">
        <v>7250</v>
      </c>
      <c r="BN7" s="421">
        <f t="shared" si="13"/>
        <v>7250</v>
      </c>
      <c r="BO7" s="421"/>
      <c r="BP7" s="420">
        <v>5241</v>
      </c>
      <c r="BQ7" s="421">
        <f t="shared" si="19"/>
        <v>5241</v>
      </c>
      <c r="BR7" s="421"/>
      <c r="BS7" s="506">
        <f>3691+1091</f>
        <v>4782</v>
      </c>
      <c r="BT7" s="506">
        <f>459+273</f>
        <v>732</v>
      </c>
      <c r="BU7" s="561">
        <v>2067</v>
      </c>
      <c r="BV7" s="421">
        <f>$B7*BU7</f>
        <v>2067</v>
      </c>
      <c r="BW7" s="421"/>
      <c r="BX7" s="422">
        <f>BP7/BU7</f>
        <v>2.5355587808417996</v>
      </c>
      <c r="BY7" s="420">
        <v>8812</v>
      </c>
      <c r="BZ7" s="421">
        <f t="shared" si="21"/>
        <v>8812</v>
      </c>
      <c r="CA7" s="421"/>
      <c r="CB7" s="506">
        <v>7045</v>
      </c>
      <c r="CC7" s="506">
        <v>1765</v>
      </c>
      <c r="CD7" s="561">
        <v>3291</v>
      </c>
      <c r="CE7" s="421">
        <f>$B7*CD7</f>
        <v>3291</v>
      </c>
      <c r="CF7" s="423"/>
      <c r="CG7" s="422">
        <f>BY7/CD7</f>
        <v>2.6776055910057734</v>
      </c>
      <c r="CH7" s="420">
        <v>60</v>
      </c>
      <c r="CI7" s="421">
        <f>$B7*CH7</f>
        <v>60</v>
      </c>
      <c r="CJ7" s="423"/>
      <c r="CK7" s="420">
        <v>4310</v>
      </c>
      <c r="CL7" s="508">
        <f>$B7*CK7</f>
        <v>4310</v>
      </c>
      <c r="CM7" s="509"/>
      <c r="CN7" s="420"/>
      <c r="CO7" s="429"/>
      <c r="CP7" s="430"/>
      <c r="CQ7" s="420">
        <v>6639</v>
      </c>
      <c r="CR7" s="421">
        <f t="shared" si="14"/>
        <v>6639</v>
      </c>
      <c r="CS7" s="423"/>
      <c r="CT7" s="420">
        <v>657</v>
      </c>
      <c r="CU7" s="421">
        <f t="shared" si="15"/>
        <v>657</v>
      </c>
      <c r="CV7" s="423"/>
      <c r="CW7" s="420"/>
      <c r="CX7" s="429"/>
      <c r="CY7" s="430"/>
      <c r="CZ7" s="431">
        <v>89.4</v>
      </c>
      <c r="DA7" s="421"/>
      <c r="DB7" s="432">
        <f t="shared" si="17"/>
        <v>7.348993288590604</v>
      </c>
      <c r="DC7" s="296">
        <f t="shared" si="23"/>
        <v>7.348993288590604</v>
      </c>
      <c r="DD7" s="296">
        <f t="shared" si="24"/>
        <v>0</v>
      </c>
    </row>
    <row r="8" spans="1:108" ht="15">
      <c r="A8" s="297" t="s">
        <v>168</v>
      </c>
      <c r="B8" s="361">
        <v>1</v>
      </c>
      <c r="C8" s="299" t="s">
        <v>167</v>
      </c>
      <c r="D8" s="419">
        <v>0.8513341804320202</v>
      </c>
      <c r="E8" s="420">
        <v>27929</v>
      </c>
      <c r="F8" s="421">
        <f t="shared" si="0"/>
        <v>27929</v>
      </c>
      <c r="G8" s="421">
        <f t="shared" si="1"/>
        <v>0</v>
      </c>
      <c r="H8" s="422">
        <f>6/51</f>
        <v>0.11764705882352941</v>
      </c>
      <c r="I8" s="510">
        <f>$B8*H8</f>
        <v>0.11764705882352941</v>
      </c>
      <c r="J8" s="510"/>
      <c r="K8" s="420">
        <v>5641</v>
      </c>
      <c r="L8" s="421">
        <f t="shared" si="2"/>
        <v>5641</v>
      </c>
      <c r="M8" s="423"/>
      <c r="N8" s="420">
        <v>469543</v>
      </c>
      <c r="O8" s="421">
        <f t="shared" si="3"/>
        <v>469543</v>
      </c>
      <c r="P8" s="421"/>
      <c r="Q8" s="422">
        <f>40/444</f>
        <v>0.09009009009009009</v>
      </c>
      <c r="R8" s="510">
        <f aca="true" t="shared" si="25" ref="R8:R14">$B8*Q8</f>
        <v>0.09009009009009009</v>
      </c>
      <c r="S8" s="510">
        <f aca="true" t="shared" si="26" ref="S8:S14">$C8*Q8</f>
        <v>0</v>
      </c>
      <c r="T8" s="420">
        <v>4300</v>
      </c>
      <c r="U8" s="421">
        <f aca="true" t="shared" si="27" ref="U8:U14">$B8*T8</f>
        <v>4300</v>
      </c>
      <c r="V8" s="423"/>
      <c r="W8" s="424"/>
      <c r="X8" s="421"/>
      <c r="Y8" s="423"/>
      <c r="Z8" s="510"/>
      <c r="AA8" s="420">
        <v>3402</v>
      </c>
      <c r="AB8" s="421">
        <f t="shared" si="4"/>
        <v>3402</v>
      </c>
      <c r="AC8" s="421"/>
      <c r="AD8" s="425">
        <f>1/3402</f>
        <v>0.00029394473838918284</v>
      </c>
      <c r="AE8" s="425">
        <f t="shared" si="5"/>
        <v>0.00029394473838918284</v>
      </c>
      <c r="AF8" s="425"/>
      <c r="AG8" s="426">
        <f>(147+1)/3402</f>
        <v>0.04350382128159906</v>
      </c>
      <c r="AH8" s="501">
        <f t="shared" si="6"/>
        <v>0.04350382128159906</v>
      </c>
      <c r="AI8" s="501"/>
      <c r="AJ8" s="420">
        <v>138</v>
      </c>
      <c r="AK8" s="421">
        <f>$B8*AJ8</f>
        <v>138</v>
      </c>
      <c r="AL8" s="421"/>
      <c r="AM8" s="424"/>
      <c r="AN8" s="421"/>
      <c r="AO8" s="423"/>
      <c r="AP8" s="510"/>
      <c r="AQ8" s="421">
        <v>125266</v>
      </c>
      <c r="AR8" s="421">
        <f t="shared" si="8"/>
        <v>125266</v>
      </c>
      <c r="AS8" s="421"/>
      <c r="AT8" s="426">
        <f>(5662+3)/119795</f>
        <v>0.04728911891147377</v>
      </c>
      <c r="AU8" s="501">
        <f aca="true" t="shared" si="28" ref="AU8:AU14">$B8*AT8</f>
        <v>0.04728911891147377</v>
      </c>
      <c r="AV8" s="501"/>
      <c r="AW8" s="420">
        <v>2276</v>
      </c>
      <c r="AX8" s="427">
        <f t="shared" si="9"/>
        <v>2276</v>
      </c>
      <c r="AY8" s="428"/>
      <c r="AZ8" s="420">
        <v>42</v>
      </c>
      <c r="BA8" s="421">
        <f t="shared" si="10"/>
        <v>42</v>
      </c>
      <c r="BB8" s="423"/>
      <c r="BC8" s="420">
        <v>1307</v>
      </c>
      <c r="BD8" s="421">
        <f t="shared" si="11"/>
        <v>1307</v>
      </c>
      <c r="BE8" s="423"/>
      <c r="BF8" s="510">
        <f t="shared" si="18"/>
        <v>0.5742530755711776</v>
      </c>
      <c r="BG8" s="420"/>
      <c r="BH8" s="429"/>
      <c r="BI8" s="430"/>
      <c r="BJ8" s="420">
        <v>941</v>
      </c>
      <c r="BK8" s="421">
        <f t="shared" si="12"/>
        <v>941</v>
      </c>
      <c r="BL8" s="423"/>
      <c r="BM8" s="526">
        <v>2200</v>
      </c>
      <c r="BN8" s="421">
        <f t="shared" si="13"/>
        <v>2200</v>
      </c>
      <c r="BO8" s="421"/>
      <c r="BP8" s="420"/>
      <c r="BQ8" s="421"/>
      <c r="BR8" s="421"/>
      <c r="BS8" s="506"/>
      <c r="BT8" s="506"/>
      <c r="BU8" s="561"/>
      <c r="BV8" s="429"/>
      <c r="BW8" s="429"/>
      <c r="BX8" s="547"/>
      <c r="BY8" s="556"/>
      <c r="BZ8" s="429"/>
      <c r="CA8" s="429"/>
      <c r="CB8" s="572"/>
      <c r="CC8" s="572"/>
      <c r="CD8" s="561"/>
      <c r="CE8" s="429"/>
      <c r="CF8" s="430"/>
      <c r="CG8" s="547"/>
      <c r="CH8" s="420"/>
      <c r="CI8" s="429"/>
      <c r="CJ8" s="430"/>
      <c r="CK8" s="420"/>
      <c r="CL8" s="429"/>
      <c r="CM8" s="430"/>
      <c r="CN8" s="420"/>
      <c r="CO8" s="429"/>
      <c r="CP8" s="430"/>
      <c r="CQ8" s="420">
        <v>1690</v>
      </c>
      <c r="CR8" s="421">
        <f t="shared" si="14"/>
        <v>1690</v>
      </c>
      <c r="CS8" s="423"/>
      <c r="CT8" s="420">
        <v>67</v>
      </c>
      <c r="CU8" s="421">
        <f t="shared" si="15"/>
        <v>67</v>
      </c>
      <c r="CV8" s="423"/>
      <c r="CW8" s="420">
        <v>1553</v>
      </c>
      <c r="CX8" s="421">
        <f aca="true" t="shared" si="29" ref="CX8:CX13">$B8*CW8</f>
        <v>1553</v>
      </c>
      <c r="CY8" s="423"/>
      <c r="CZ8" s="431">
        <v>78.7</v>
      </c>
      <c r="DA8" s="421">
        <v>1825</v>
      </c>
      <c r="DB8" s="432">
        <f t="shared" si="17"/>
        <v>0.8513341804320202</v>
      </c>
      <c r="DC8" s="296">
        <f t="shared" si="23"/>
        <v>0.8513341804320202</v>
      </c>
      <c r="DD8" s="296">
        <f t="shared" si="24"/>
        <v>0</v>
      </c>
    </row>
    <row r="9" spans="1:108" ht="12.75">
      <c r="A9" s="297" t="s">
        <v>169</v>
      </c>
      <c r="B9" s="361">
        <v>1</v>
      </c>
      <c r="C9" s="363">
        <v>1</v>
      </c>
      <c r="D9" s="378">
        <v>10.5</v>
      </c>
      <c r="E9" s="379">
        <v>172787</v>
      </c>
      <c r="F9" s="380">
        <f t="shared" si="0"/>
        <v>172787</v>
      </c>
      <c r="G9" s="380">
        <f t="shared" si="1"/>
        <v>172787</v>
      </c>
      <c r="H9" s="381"/>
      <c r="I9" s="482"/>
      <c r="J9" s="482"/>
      <c r="K9" s="379">
        <v>41499</v>
      </c>
      <c r="L9" s="380">
        <f t="shared" si="2"/>
        <v>41499</v>
      </c>
      <c r="M9" s="382">
        <f>$C9*K9</f>
        <v>41499</v>
      </c>
      <c r="N9" s="379">
        <v>4581642</v>
      </c>
      <c r="O9" s="380">
        <f t="shared" si="3"/>
        <v>4581642</v>
      </c>
      <c r="P9" s="380">
        <f>$C9*N9</f>
        <v>4581642</v>
      </c>
      <c r="Q9" s="383">
        <f>1/4.4</f>
        <v>0.22727272727272727</v>
      </c>
      <c r="R9" s="483">
        <f t="shared" si="25"/>
        <v>0.22727272727272727</v>
      </c>
      <c r="S9" s="483">
        <f t="shared" si="26"/>
        <v>0.22727272727272727</v>
      </c>
      <c r="T9" s="379">
        <v>51600</v>
      </c>
      <c r="U9" s="380">
        <f t="shared" si="27"/>
        <v>51600</v>
      </c>
      <c r="V9" s="382">
        <f>$C9*T9</f>
        <v>51600</v>
      </c>
      <c r="W9" s="379">
        <v>72700</v>
      </c>
      <c r="X9" s="380">
        <f>$B9*W9</f>
        <v>72700</v>
      </c>
      <c r="Y9" s="382">
        <f>$C9*W9</f>
        <v>72700</v>
      </c>
      <c r="Z9" s="483">
        <f aca="true" t="shared" si="30" ref="Z9:Z34">W9/T9</f>
        <v>1.4089147286821706</v>
      </c>
      <c r="AA9" s="379">
        <v>20375</v>
      </c>
      <c r="AB9" s="380">
        <f t="shared" si="4"/>
        <v>20375</v>
      </c>
      <c r="AC9" s="380">
        <f>$C9*AA9</f>
        <v>20375</v>
      </c>
      <c r="AD9" s="384">
        <f>728/20134</f>
        <v>0.03615774312108871</v>
      </c>
      <c r="AE9" s="384">
        <f t="shared" si="5"/>
        <v>0.03615774312108871</v>
      </c>
      <c r="AF9" s="384">
        <f>$C9*AD9</f>
        <v>0.03615774312108871</v>
      </c>
      <c r="AG9" s="385">
        <f>(2215)/20375</f>
        <v>0.10871165644171779</v>
      </c>
      <c r="AH9" s="490">
        <f t="shared" si="6"/>
        <v>0.10871165644171779</v>
      </c>
      <c r="AI9" s="490">
        <f>$C9*AG9</f>
        <v>0.10871165644171779</v>
      </c>
      <c r="AJ9" s="386"/>
      <c r="AK9" s="380"/>
      <c r="AL9" s="380"/>
      <c r="AM9" s="379">
        <v>16107</v>
      </c>
      <c r="AN9" s="380">
        <f>$B9*AM9</f>
        <v>16107</v>
      </c>
      <c r="AO9" s="382">
        <f>$C9*AM9</f>
        <v>16107</v>
      </c>
      <c r="AP9" s="483"/>
      <c r="AQ9" s="380">
        <v>952962</v>
      </c>
      <c r="AR9" s="380">
        <f t="shared" si="8"/>
        <v>952962</v>
      </c>
      <c r="AS9" s="380">
        <f>$C9*AQ9</f>
        <v>952962</v>
      </c>
      <c r="AT9" s="385">
        <f>(106735+1612)/589598</f>
        <v>0.18376419187310677</v>
      </c>
      <c r="AU9" s="490">
        <f t="shared" si="28"/>
        <v>0.18376419187310677</v>
      </c>
      <c r="AV9" s="490">
        <f>$C9*AT9</f>
        <v>0.18376419187310677</v>
      </c>
      <c r="AW9" s="379">
        <v>10643</v>
      </c>
      <c r="AX9" s="387">
        <f t="shared" si="9"/>
        <v>10643</v>
      </c>
      <c r="AY9" s="388">
        <f>$C9*AW9</f>
        <v>10643</v>
      </c>
      <c r="AZ9" s="379">
        <v>432</v>
      </c>
      <c r="BA9" s="380">
        <f t="shared" si="10"/>
        <v>432</v>
      </c>
      <c r="BB9" s="382">
        <f>$C9*AZ9</f>
        <v>432</v>
      </c>
      <c r="BC9" s="379">
        <v>50877</v>
      </c>
      <c r="BD9" s="380">
        <f t="shared" si="11"/>
        <v>50877</v>
      </c>
      <c r="BE9" s="382">
        <f>$C9*BC9</f>
        <v>50877</v>
      </c>
      <c r="BF9" s="483">
        <f t="shared" si="18"/>
        <v>4.780325096307432</v>
      </c>
      <c r="BG9" s="379">
        <v>80304</v>
      </c>
      <c r="BH9" s="380">
        <f>$B9*BG9</f>
        <v>80304</v>
      </c>
      <c r="BI9" s="382">
        <f>$C9*BG9</f>
        <v>80304</v>
      </c>
      <c r="BJ9" s="379">
        <v>54830</v>
      </c>
      <c r="BK9" s="380">
        <f t="shared" si="12"/>
        <v>54830</v>
      </c>
      <c r="BL9" s="382">
        <f>$C9*BJ9</f>
        <v>54830</v>
      </c>
      <c r="BM9" s="527">
        <v>15890</v>
      </c>
      <c r="BN9" s="380">
        <f t="shared" si="13"/>
        <v>15890</v>
      </c>
      <c r="BO9" s="380">
        <f>$C9*BM9</f>
        <v>15890</v>
      </c>
      <c r="BP9" s="379">
        <v>19872</v>
      </c>
      <c r="BQ9" s="380">
        <f t="shared" si="19"/>
        <v>19872</v>
      </c>
      <c r="BR9" s="380">
        <f t="shared" si="20"/>
        <v>19872</v>
      </c>
      <c r="BS9" s="404">
        <f>12145+3571</f>
        <v>15716</v>
      </c>
      <c r="BT9" s="404">
        <f>1118+3032</f>
        <v>4150</v>
      </c>
      <c r="BU9" s="562">
        <v>6714</v>
      </c>
      <c r="BV9" s="380">
        <f aca="true" t="shared" si="31" ref="BV9:BV19">$B9*BU9</f>
        <v>6714</v>
      </c>
      <c r="BW9" s="380">
        <f>$C9*BU9</f>
        <v>6714</v>
      </c>
      <c r="BX9" s="383">
        <f>BP9/BU9</f>
        <v>2.959785522788204</v>
      </c>
      <c r="BY9" s="379">
        <v>34021</v>
      </c>
      <c r="BZ9" s="380">
        <f t="shared" si="21"/>
        <v>34021</v>
      </c>
      <c r="CA9" s="380">
        <f t="shared" si="22"/>
        <v>34021</v>
      </c>
      <c r="CB9" s="404">
        <v>29107</v>
      </c>
      <c r="CC9" s="404">
        <v>4914</v>
      </c>
      <c r="CD9" s="562">
        <v>14316</v>
      </c>
      <c r="CE9" s="380">
        <f aca="true" t="shared" si="32" ref="CE9:CE19">$B9*CD9</f>
        <v>14316</v>
      </c>
      <c r="CF9" s="382">
        <f>$C9*CD9</f>
        <v>14316</v>
      </c>
      <c r="CG9" s="383">
        <f>BY9/CD9</f>
        <v>2.3764319642358203</v>
      </c>
      <c r="CH9" s="379">
        <v>290</v>
      </c>
      <c r="CI9" s="380">
        <f aca="true" t="shared" si="33" ref="CI9:CI19">$B9*CH9</f>
        <v>290</v>
      </c>
      <c r="CJ9" s="382">
        <f>$C9*CH9</f>
        <v>290</v>
      </c>
      <c r="CK9" s="379">
        <v>695</v>
      </c>
      <c r="CL9" s="389">
        <f>$B9*CK9</f>
        <v>695</v>
      </c>
      <c r="CM9" s="390">
        <f>$C9*CK9</f>
        <v>695</v>
      </c>
      <c r="CN9" s="379">
        <v>10</v>
      </c>
      <c r="CO9" s="380">
        <f>$B9*CN9</f>
        <v>10</v>
      </c>
      <c r="CP9" s="382">
        <f>$C9*CN9</f>
        <v>10</v>
      </c>
      <c r="CQ9" s="379">
        <v>20487</v>
      </c>
      <c r="CR9" s="380">
        <f t="shared" si="14"/>
        <v>20487</v>
      </c>
      <c r="CS9" s="382">
        <f>$C9*CQ9</f>
        <v>20487</v>
      </c>
      <c r="CT9" s="379">
        <v>773</v>
      </c>
      <c r="CU9" s="380">
        <f t="shared" si="15"/>
        <v>773</v>
      </c>
      <c r="CV9" s="382">
        <f>$C9*CT9</f>
        <v>773</v>
      </c>
      <c r="CW9" s="379">
        <v>25550</v>
      </c>
      <c r="CX9" s="380">
        <f t="shared" si="29"/>
        <v>25550</v>
      </c>
      <c r="CY9" s="382">
        <f t="shared" si="16"/>
        <v>25550</v>
      </c>
      <c r="CZ9" s="391">
        <v>73.6</v>
      </c>
      <c r="DA9" s="380">
        <v>2434</v>
      </c>
      <c r="DB9" s="392">
        <f t="shared" si="17"/>
        <v>10.50271739130435</v>
      </c>
      <c r="DC9" s="296">
        <f t="shared" si="23"/>
        <v>10.50271739130435</v>
      </c>
      <c r="DD9" s="296">
        <f t="shared" si="24"/>
        <v>10.50271739130435</v>
      </c>
    </row>
    <row r="10" spans="1:108" ht="15">
      <c r="A10" s="314" t="s">
        <v>205</v>
      </c>
      <c r="B10" s="361">
        <v>1</v>
      </c>
      <c r="C10" s="363">
        <v>1</v>
      </c>
      <c r="D10" s="378">
        <v>5.641025641025641</v>
      </c>
      <c r="E10" s="379">
        <v>169794</v>
      </c>
      <c r="F10" s="380">
        <f t="shared" si="0"/>
        <v>169794</v>
      </c>
      <c r="G10" s="380">
        <f t="shared" si="1"/>
        <v>169794</v>
      </c>
      <c r="H10" s="383">
        <f>102/184</f>
        <v>0.5543478260869565</v>
      </c>
      <c r="I10" s="483">
        <f>$B10*H10</f>
        <v>0.5543478260869565</v>
      </c>
      <c r="J10" s="483">
        <f>$C10*H10</f>
        <v>0.5543478260869565</v>
      </c>
      <c r="K10" s="379">
        <v>28015</v>
      </c>
      <c r="L10" s="380">
        <f t="shared" si="2"/>
        <v>28015</v>
      </c>
      <c r="M10" s="382">
        <f>$C10*K10</f>
        <v>28015</v>
      </c>
      <c r="N10" s="379">
        <v>2580000</v>
      </c>
      <c r="O10" s="380">
        <f t="shared" si="3"/>
        <v>2580000</v>
      </c>
      <c r="P10" s="380">
        <f>$C10*N10</f>
        <v>2580000</v>
      </c>
      <c r="Q10" s="393">
        <f>0.8/1.9</f>
        <v>0.4210526315789474</v>
      </c>
      <c r="R10" s="487">
        <f t="shared" si="25"/>
        <v>0.4210526315789474</v>
      </c>
      <c r="S10" s="487">
        <f t="shared" si="26"/>
        <v>0.4210526315789474</v>
      </c>
      <c r="T10" s="379">
        <v>43100</v>
      </c>
      <c r="U10" s="380">
        <f t="shared" si="27"/>
        <v>43100</v>
      </c>
      <c r="V10" s="382">
        <f>$C10*T10</f>
        <v>43100</v>
      </c>
      <c r="W10" s="379">
        <v>61600</v>
      </c>
      <c r="X10" s="380">
        <f>$B10*W10</f>
        <v>61600</v>
      </c>
      <c r="Y10" s="382">
        <f>$C10*W10</f>
        <v>61600</v>
      </c>
      <c r="Z10" s="483">
        <f t="shared" si="30"/>
        <v>1.4292343387470998</v>
      </c>
      <c r="AA10" s="394">
        <v>14452</v>
      </c>
      <c r="AB10" s="380">
        <f t="shared" si="4"/>
        <v>14452</v>
      </c>
      <c r="AC10" s="380">
        <f>$C10*AA10</f>
        <v>14452</v>
      </c>
      <c r="AD10" s="384">
        <v>0.0001</v>
      </c>
      <c r="AE10" s="384">
        <f t="shared" si="5"/>
        <v>0.0001</v>
      </c>
      <c r="AF10" s="384">
        <f>$C10*AD10</f>
        <v>0.0001</v>
      </c>
      <c r="AG10" s="385">
        <f>(1240)/14191</f>
        <v>0.08737932492424776</v>
      </c>
      <c r="AH10" s="490">
        <f t="shared" si="6"/>
        <v>0.08737932492424776</v>
      </c>
      <c r="AI10" s="490">
        <f>$C10*AG10</f>
        <v>0.08737932492424776</v>
      </c>
      <c r="AJ10" s="379">
        <v>600</v>
      </c>
      <c r="AK10" s="380">
        <f>$B10*AJ10</f>
        <v>600</v>
      </c>
      <c r="AL10" s="380">
        <f>$C10*AJ10</f>
        <v>600</v>
      </c>
      <c r="AM10" s="379">
        <v>7250</v>
      </c>
      <c r="AN10" s="380">
        <f>$B10*AM10</f>
        <v>7250</v>
      </c>
      <c r="AO10" s="382">
        <f>$C10*AM10</f>
        <v>7250</v>
      </c>
      <c r="AP10" s="483">
        <f t="shared" si="7"/>
        <v>12.083333333333334</v>
      </c>
      <c r="AQ10" s="380">
        <v>879500</v>
      </c>
      <c r="AR10" s="380">
        <f t="shared" si="8"/>
        <v>879500</v>
      </c>
      <c r="AS10" s="380">
        <f>$C10*AQ10</f>
        <v>879500</v>
      </c>
      <c r="AT10" s="385">
        <f>(284)/34629</f>
        <v>0.00820121863178261</v>
      </c>
      <c r="AU10" s="490">
        <f t="shared" si="28"/>
        <v>0.00820121863178261</v>
      </c>
      <c r="AV10" s="490">
        <f>$C10*AT10</f>
        <v>0.00820121863178261</v>
      </c>
      <c r="AW10" s="379">
        <v>2288</v>
      </c>
      <c r="AX10" s="387">
        <f t="shared" si="9"/>
        <v>2288</v>
      </c>
      <c r="AY10" s="388">
        <f>$C10*AW10</f>
        <v>2288</v>
      </c>
      <c r="AZ10" s="379">
        <v>194</v>
      </c>
      <c r="BA10" s="380">
        <f t="shared" si="10"/>
        <v>194</v>
      </c>
      <c r="BB10" s="382">
        <f>$C10*AZ10</f>
        <v>194</v>
      </c>
      <c r="BC10" s="379">
        <v>19480</v>
      </c>
      <c r="BD10" s="380">
        <f t="shared" si="11"/>
        <v>19480</v>
      </c>
      <c r="BE10" s="382">
        <f>$C10*BC10</f>
        <v>19480</v>
      </c>
      <c r="BF10" s="483">
        <f t="shared" si="18"/>
        <v>8.513986013986013</v>
      </c>
      <c r="BG10" s="379">
        <v>71346</v>
      </c>
      <c r="BH10" s="380">
        <f>$B10*BG10</f>
        <v>71346</v>
      </c>
      <c r="BI10" s="382">
        <f>$C10*BG10</f>
        <v>71346</v>
      </c>
      <c r="BJ10" s="379">
        <v>12025</v>
      </c>
      <c r="BK10" s="380">
        <f t="shared" si="12"/>
        <v>12025</v>
      </c>
      <c r="BL10" s="382">
        <f>$C10*BJ10</f>
        <v>12025</v>
      </c>
      <c r="BM10" s="527">
        <v>11880</v>
      </c>
      <c r="BN10" s="380">
        <f t="shared" si="13"/>
        <v>11880</v>
      </c>
      <c r="BO10" s="380">
        <f>$C10*BM10</f>
        <v>11880</v>
      </c>
      <c r="BP10" s="379"/>
      <c r="BQ10" s="380"/>
      <c r="BR10" s="380"/>
      <c r="BS10" s="404"/>
      <c r="BT10" s="404"/>
      <c r="BU10" s="562">
        <v>6889</v>
      </c>
      <c r="BV10" s="380">
        <f t="shared" si="31"/>
        <v>6889</v>
      </c>
      <c r="BW10" s="380">
        <f>$C10*BU10</f>
        <v>6889</v>
      </c>
      <c r="BX10" s="383"/>
      <c r="BY10" s="379"/>
      <c r="BZ10" s="380"/>
      <c r="CA10" s="380"/>
      <c r="CB10" s="404"/>
      <c r="CC10" s="404"/>
      <c r="CD10" s="562">
        <v>1863</v>
      </c>
      <c r="CE10" s="380">
        <f t="shared" si="32"/>
        <v>1863</v>
      </c>
      <c r="CF10" s="382">
        <f>$C10*CD10</f>
        <v>1863</v>
      </c>
      <c r="CG10" s="383"/>
      <c r="CH10" s="379">
        <v>240</v>
      </c>
      <c r="CI10" s="380">
        <f t="shared" si="33"/>
        <v>240</v>
      </c>
      <c r="CJ10" s="382">
        <f>$C10*CH10</f>
        <v>240</v>
      </c>
      <c r="CK10" s="379"/>
      <c r="CL10" s="395"/>
      <c r="CM10" s="396"/>
      <c r="CN10" s="379"/>
      <c r="CO10" s="395"/>
      <c r="CP10" s="396"/>
      <c r="CQ10" s="379">
        <v>3525</v>
      </c>
      <c r="CR10" s="380">
        <f t="shared" si="14"/>
        <v>3525</v>
      </c>
      <c r="CS10" s="382">
        <f>$C10*CQ10</f>
        <v>3525</v>
      </c>
      <c r="CT10" s="379">
        <v>220</v>
      </c>
      <c r="CU10" s="380">
        <f t="shared" si="15"/>
        <v>220</v>
      </c>
      <c r="CV10" s="382">
        <f>$C10*CT10</f>
        <v>220</v>
      </c>
      <c r="CW10" s="379">
        <v>4039</v>
      </c>
      <c r="CX10" s="380">
        <f t="shared" si="29"/>
        <v>4039</v>
      </c>
      <c r="CY10" s="382">
        <f t="shared" si="16"/>
        <v>4039</v>
      </c>
      <c r="CZ10" s="391">
        <v>39</v>
      </c>
      <c r="DA10" s="380">
        <v>725</v>
      </c>
      <c r="DB10" s="392">
        <f t="shared" si="17"/>
        <v>5.641025641025641</v>
      </c>
      <c r="DC10" s="296">
        <f t="shared" si="23"/>
        <v>5.641025641025641</v>
      </c>
      <c r="DD10" s="296">
        <f t="shared" si="24"/>
        <v>5.641025641025641</v>
      </c>
    </row>
    <row r="11" spans="1:108" ht="15">
      <c r="A11" s="297" t="s">
        <v>170</v>
      </c>
      <c r="B11" s="361">
        <v>1</v>
      </c>
      <c r="C11" s="299" t="s">
        <v>167</v>
      </c>
      <c r="D11" s="455">
        <v>1.339522546419098</v>
      </c>
      <c r="E11" s="456">
        <v>17058</v>
      </c>
      <c r="F11" s="457">
        <f t="shared" si="0"/>
        <v>17058</v>
      </c>
      <c r="G11" s="457">
        <f t="shared" si="1"/>
        <v>0</v>
      </c>
      <c r="H11" s="458">
        <f>6/24</f>
        <v>0.25</v>
      </c>
      <c r="I11" s="484">
        <f>$B11*H11</f>
        <v>0.25</v>
      </c>
      <c r="J11" s="484"/>
      <c r="K11" s="456">
        <v>7212</v>
      </c>
      <c r="L11" s="457">
        <f t="shared" si="2"/>
        <v>7212</v>
      </c>
      <c r="M11" s="459"/>
      <c r="N11" s="456">
        <v>574015</v>
      </c>
      <c r="O11" s="457">
        <f t="shared" si="3"/>
        <v>574015</v>
      </c>
      <c r="P11" s="457"/>
      <c r="Q11" s="458">
        <f>0.12/0.55</f>
        <v>0.21818181818181814</v>
      </c>
      <c r="R11" s="484">
        <f t="shared" si="25"/>
        <v>0.21818181818181814</v>
      </c>
      <c r="S11" s="484">
        <f t="shared" si="26"/>
        <v>0</v>
      </c>
      <c r="T11" s="460">
        <v>7000</v>
      </c>
      <c r="U11" s="457">
        <f t="shared" si="27"/>
        <v>7000</v>
      </c>
      <c r="V11" s="459"/>
      <c r="W11" s="460">
        <v>12000</v>
      </c>
      <c r="X11" s="457">
        <f>$B11*W11</f>
        <v>12000</v>
      </c>
      <c r="Y11" s="459"/>
      <c r="Z11" s="484">
        <f t="shared" si="30"/>
        <v>1.7142857142857142</v>
      </c>
      <c r="AA11" s="456">
        <v>4412</v>
      </c>
      <c r="AB11" s="457">
        <f t="shared" si="4"/>
        <v>4412</v>
      </c>
      <c r="AC11" s="457"/>
      <c r="AD11" s="461">
        <f>120/4412</f>
        <v>0.027198549410698096</v>
      </c>
      <c r="AE11" s="461">
        <f t="shared" si="5"/>
        <v>0.027198549410698096</v>
      </c>
      <c r="AF11" s="461"/>
      <c r="AG11" s="462">
        <f>(332)/4412</f>
        <v>0.07524932003626474</v>
      </c>
      <c r="AH11" s="491">
        <f t="shared" si="6"/>
        <v>0.07524932003626474</v>
      </c>
      <c r="AI11" s="491"/>
      <c r="AJ11" s="460">
        <v>223</v>
      </c>
      <c r="AK11" s="457">
        <f>$B11*AJ11</f>
        <v>223</v>
      </c>
      <c r="AL11" s="457"/>
      <c r="AM11" s="456">
        <v>2123</v>
      </c>
      <c r="AN11" s="457">
        <f>$B11*AM11</f>
        <v>2123</v>
      </c>
      <c r="AO11" s="459"/>
      <c r="AP11" s="484">
        <f t="shared" si="7"/>
        <v>9.52017937219731</v>
      </c>
      <c r="AQ11" s="457">
        <v>154286</v>
      </c>
      <c r="AR11" s="457">
        <f t="shared" si="8"/>
        <v>154286</v>
      </c>
      <c r="AS11" s="457"/>
      <c r="AT11" s="462">
        <f>(18860+6)/75317</f>
        <v>0.2504879376501985</v>
      </c>
      <c r="AU11" s="491">
        <f t="shared" si="28"/>
        <v>0.2504879376501985</v>
      </c>
      <c r="AV11" s="491"/>
      <c r="AW11" s="460">
        <v>1700</v>
      </c>
      <c r="AX11" s="463">
        <f t="shared" si="9"/>
        <v>1700</v>
      </c>
      <c r="AY11" s="464"/>
      <c r="AZ11" s="456">
        <v>38</v>
      </c>
      <c r="BA11" s="457">
        <f t="shared" si="10"/>
        <v>38</v>
      </c>
      <c r="BB11" s="459"/>
      <c r="BC11" s="456">
        <v>7026</v>
      </c>
      <c r="BD11" s="457">
        <f t="shared" si="11"/>
        <v>7026</v>
      </c>
      <c r="BE11" s="459"/>
      <c r="BF11" s="484">
        <f t="shared" si="18"/>
        <v>4.132941176470588</v>
      </c>
      <c r="BG11" s="456"/>
      <c r="BH11" s="465"/>
      <c r="BI11" s="466"/>
      <c r="BJ11" s="456">
        <v>5912</v>
      </c>
      <c r="BK11" s="457">
        <f t="shared" si="12"/>
        <v>5912</v>
      </c>
      <c r="BL11" s="459"/>
      <c r="BM11" s="528">
        <v>2040</v>
      </c>
      <c r="BN11" s="457">
        <f t="shared" si="13"/>
        <v>2040</v>
      </c>
      <c r="BO11" s="457"/>
      <c r="BP11" s="460">
        <v>943</v>
      </c>
      <c r="BQ11" s="532">
        <f t="shared" si="19"/>
        <v>943</v>
      </c>
      <c r="BR11" s="532"/>
      <c r="BS11" s="532">
        <v>234</v>
      </c>
      <c r="BT11" s="532">
        <f>120+589</f>
        <v>709</v>
      </c>
      <c r="BU11" s="563">
        <v>243</v>
      </c>
      <c r="BV11" s="531">
        <f t="shared" si="31"/>
        <v>243</v>
      </c>
      <c r="BW11" s="532"/>
      <c r="BX11" s="548">
        <f aca="true" t="shared" si="34" ref="BX11:BX21">BP11/BU11</f>
        <v>3.880658436213992</v>
      </c>
      <c r="BY11" s="460">
        <v>14081</v>
      </c>
      <c r="BZ11" s="457">
        <f t="shared" si="21"/>
        <v>14081</v>
      </c>
      <c r="CA11" s="457"/>
      <c r="CB11" s="474">
        <v>0.1</v>
      </c>
      <c r="CC11" s="532">
        <v>14081</v>
      </c>
      <c r="CD11" s="565">
        <v>6271</v>
      </c>
      <c r="CE11" s="457">
        <f t="shared" si="32"/>
        <v>6271</v>
      </c>
      <c r="CF11" s="459"/>
      <c r="CG11" s="458">
        <f>BY11/CD11</f>
        <v>2.2454154042417476</v>
      </c>
      <c r="CH11" s="456">
        <v>160</v>
      </c>
      <c r="CI11" s="457">
        <f t="shared" si="33"/>
        <v>160</v>
      </c>
      <c r="CJ11" s="459"/>
      <c r="CK11" s="456"/>
      <c r="CL11" s="465"/>
      <c r="CM11" s="466"/>
      <c r="CN11" s="456"/>
      <c r="CO11" s="465"/>
      <c r="CP11" s="466"/>
      <c r="CQ11" s="456">
        <v>1492</v>
      </c>
      <c r="CR11" s="457">
        <f t="shared" si="14"/>
        <v>1492</v>
      </c>
      <c r="CS11" s="459"/>
      <c r="CT11" s="456">
        <v>101</v>
      </c>
      <c r="CU11" s="457">
        <f t="shared" si="15"/>
        <v>101</v>
      </c>
      <c r="CV11" s="459"/>
      <c r="CW11" s="456">
        <v>1877</v>
      </c>
      <c r="CX11" s="457">
        <f t="shared" si="29"/>
        <v>1877</v>
      </c>
      <c r="CY11" s="459"/>
      <c r="CZ11" s="467">
        <v>75.4</v>
      </c>
      <c r="DA11" s="457">
        <v>1401</v>
      </c>
      <c r="DB11" s="468">
        <f t="shared" si="17"/>
        <v>1.339522546419098</v>
      </c>
      <c r="DC11" s="296">
        <f t="shared" si="23"/>
        <v>1.339522546419098</v>
      </c>
      <c r="DD11" s="296">
        <f t="shared" si="24"/>
        <v>0</v>
      </c>
    </row>
    <row r="12" spans="1:108" ht="15">
      <c r="A12" s="297" t="s">
        <v>171</v>
      </c>
      <c r="B12" s="361">
        <v>1</v>
      </c>
      <c r="C12" s="363">
        <v>1</v>
      </c>
      <c r="D12" s="378">
        <v>5.387453874538745</v>
      </c>
      <c r="E12" s="379">
        <v>145045</v>
      </c>
      <c r="F12" s="380">
        <f t="shared" si="0"/>
        <v>145045</v>
      </c>
      <c r="G12" s="380">
        <f t="shared" si="1"/>
        <v>145045</v>
      </c>
      <c r="H12" s="383">
        <f>69/140</f>
        <v>0.4928571428571429</v>
      </c>
      <c r="I12" s="483">
        <f>$B12*H12</f>
        <v>0.4928571428571429</v>
      </c>
      <c r="J12" s="483">
        <f>$C12*H12</f>
        <v>0.4928571428571429</v>
      </c>
      <c r="K12" s="379">
        <v>51966</v>
      </c>
      <c r="L12" s="380">
        <f t="shared" si="2"/>
        <v>51966</v>
      </c>
      <c r="M12" s="382">
        <f aca="true" t="shared" si="35" ref="M12:M18">$C12*K12</f>
        <v>51966</v>
      </c>
      <c r="N12" s="379">
        <v>2978729</v>
      </c>
      <c r="O12" s="380">
        <f t="shared" si="3"/>
        <v>2978729</v>
      </c>
      <c r="P12" s="380">
        <f aca="true" t="shared" si="36" ref="P12:P18">$C12*N12</f>
        <v>2978729</v>
      </c>
      <c r="Q12" s="383">
        <f>0.45/2.7</f>
        <v>0.16666666666666666</v>
      </c>
      <c r="R12" s="483">
        <f t="shared" si="25"/>
        <v>0.16666666666666666</v>
      </c>
      <c r="S12" s="483">
        <f t="shared" si="26"/>
        <v>0.16666666666666666</v>
      </c>
      <c r="T12" s="379">
        <v>46200</v>
      </c>
      <c r="U12" s="380">
        <f t="shared" si="27"/>
        <v>46200</v>
      </c>
      <c r="V12" s="382">
        <f>$C12*T12</f>
        <v>46200</v>
      </c>
      <c r="W12" s="379">
        <v>64300</v>
      </c>
      <c r="X12" s="380">
        <f>$B12*W12</f>
        <v>64300</v>
      </c>
      <c r="Y12" s="382">
        <f>$C12*W12</f>
        <v>64300</v>
      </c>
      <c r="Z12" s="483">
        <f t="shared" si="30"/>
        <v>1.3917748917748918</v>
      </c>
      <c r="AA12" s="379">
        <v>12276</v>
      </c>
      <c r="AB12" s="380">
        <f t="shared" si="4"/>
        <v>12276</v>
      </c>
      <c r="AC12" s="380">
        <f aca="true" t="shared" si="37" ref="AC12:AC18">$C12*AA12</f>
        <v>12276</v>
      </c>
      <c r="AD12" s="384">
        <v>0.0001</v>
      </c>
      <c r="AE12" s="384">
        <f t="shared" si="5"/>
        <v>0.0001</v>
      </c>
      <c r="AF12" s="384">
        <f>$C12*AD12</f>
        <v>0.0001</v>
      </c>
      <c r="AG12" s="385">
        <f>(31+154)/12276</f>
        <v>0.015070055392636037</v>
      </c>
      <c r="AH12" s="490">
        <f t="shared" si="6"/>
        <v>0.015070055392636037</v>
      </c>
      <c r="AI12" s="490">
        <f>$C12*AG12</f>
        <v>0.015070055392636037</v>
      </c>
      <c r="AJ12" s="379">
        <v>580</v>
      </c>
      <c r="AK12" s="380">
        <f>$B12*AJ12</f>
        <v>580</v>
      </c>
      <c r="AL12" s="380">
        <f>$C12*AJ12</f>
        <v>580</v>
      </c>
      <c r="AM12" s="379">
        <v>7540</v>
      </c>
      <c r="AN12" s="380">
        <f>$B12*AM12</f>
        <v>7540</v>
      </c>
      <c r="AO12" s="382">
        <f>$C12*AM12</f>
        <v>7540</v>
      </c>
      <c r="AP12" s="483">
        <f t="shared" si="7"/>
        <v>13</v>
      </c>
      <c r="AQ12" s="380">
        <v>1362178</v>
      </c>
      <c r="AR12" s="380">
        <f t="shared" si="8"/>
        <v>1362178</v>
      </c>
      <c r="AS12" s="380">
        <f aca="true" t="shared" si="38" ref="AS12:AS18">$C12*AQ12</f>
        <v>1362178</v>
      </c>
      <c r="AT12" s="385">
        <f>(29283+4284)/424982</f>
        <v>0.07898452169738954</v>
      </c>
      <c r="AU12" s="490">
        <f t="shared" si="28"/>
        <v>0.07898452169738954</v>
      </c>
      <c r="AV12" s="490">
        <f>$C12*AT12</f>
        <v>0.07898452169738954</v>
      </c>
      <c r="AW12" s="379">
        <v>7115</v>
      </c>
      <c r="AX12" s="387">
        <f t="shared" si="9"/>
        <v>7115</v>
      </c>
      <c r="AY12" s="388">
        <f>$C12*AW12</f>
        <v>7115</v>
      </c>
      <c r="AZ12" s="379">
        <v>424</v>
      </c>
      <c r="BA12" s="380">
        <f t="shared" si="10"/>
        <v>424</v>
      </c>
      <c r="BB12" s="382">
        <f>$C12*AZ12</f>
        <v>424</v>
      </c>
      <c r="BC12" s="379">
        <v>31034</v>
      </c>
      <c r="BD12" s="380">
        <f t="shared" si="11"/>
        <v>31034</v>
      </c>
      <c r="BE12" s="382">
        <f>$C12*BC12</f>
        <v>31034</v>
      </c>
      <c r="BF12" s="483">
        <f t="shared" si="18"/>
        <v>4.361770906535488</v>
      </c>
      <c r="BG12" s="379">
        <v>73030</v>
      </c>
      <c r="BH12" s="380">
        <f>$B12*BG12</f>
        <v>73030</v>
      </c>
      <c r="BI12" s="382">
        <f>$C12*BG12</f>
        <v>73030</v>
      </c>
      <c r="BJ12" s="379">
        <v>27816</v>
      </c>
      <c r="BK12" s="380">
        <f t="shared" si="12"/>
        <v>27816</v>
      </c>
      <c r="BL12" s="382">
        <f aca="true" t="shared" si="39" ref="BL12:BL18">$C12*BJ12</f>
        <v>27816</v>
      </c>
      <c r="BM12" s="527">
        <v>11450</v>
      </c>
      <c r="BN12" s="380">
        <f t="shared" si="13"/>
        <v>11450</v>
      </c>
      <c r="BO12" s="380">
        <f aca="true" t="shared" si="40" ref="BO12:BO18">$C12*BM12</f>
        <v>11450</v>
      </c>
      <c r="BP12" s="379">
        <v>10022</v>
      </c>
      <c r="BQ12" s="380">
        <f t="shared" si="19"/>
        <v>10022</v>
      </c>
      <c r="BR12" s="380">
        <f t="shared" si="20"/>
        <v>10022</v>
      </c>
      <c r="BS12" s="404">
        <f>6133+3457</f>
        <v>9590</v>
      </c>
      <c r="BT12" s="404">
        <f>307+125</f>
        <v>432</v>
      </c>
      <c r="BU12" s="562">
        <v>3882</v>
      </c>
      <c r="BV12" s="380">
        <f t="shared" si="31"/>
        <v>3882</v>
      </c>
      <c r="BW12" s="380">
        <f aca="true" t="shared" si="41" ref="BW12:BW18">$C12*BU12</f>
        <v>3882</v>
      </c>
      <c r="BX12" s="383">
        <f t="shared" si="34"/>
        <v>2.581658938691396</v>
      </c>
      <c r="BY12" s="379">
        <v>21836</v>
      </c>
      <c r="BZ12" s="380">
        <f t="shared" si="21"/>
        <v>21836</v>
      </c>
      <c r="CA12" s="380">
        <f t="shared" si="22"/>
        <v>21836</v>
      </c>
      <c r="CB12" s="404">
        <v>15730</v>
      </c>
      <c r="CC12" s="404">
        <v>6106</v>
      </c>
      <c r="CD12" s="562">
        <v>9395</v>
      </c>
      <c r="CE12" s="380">
        <f t="shared" si="32"/>
        <v>9395</v>
      </c>
      <c r="CF12" s="382">
        <f aca="true" t="shared" si="42" ref="CF12:CF18">$C12*CD12</f>
        <v>9395</v>
      </c>
      <c r="CG12" s="383">
        <f>BY12/CD12</f>
        <v>2.3242150079829695</v>
      </c>
      <c r="CH12" s="379">
        <v>100</v>
      </c>
      <c r="CI12" s="380">
        <f t="shared" si="33"/>
        <v>100</v>
      </c>
      <c r="CJ12" s="382">
        <f aca="true" t="shared" si="43" ref="CJ12:CJ18">$C12*CH12</f>
        <v>100</v>
      </c>
      <c r="CK12" s="397">
        <v>9000</v>
      </c>
      <c r="CL12" s="395">
        <f>$B12*CK12</f>
        <v>9000</v>
      </c>
      <c r="CM12" s="396">
        <f>$C12*CK12</f>
        <v>9000</v>
      </c>
      <c r="CN12" s="379">
        <v>550</v>
      </c>
      <c r="CO12" s="380">
        <f>$B12*CN12</f>
        <v>550</v>
      </c>
      <c r="CP12" s="382">
        <f>$C12*CN12</f>
        <v>550</v>
      </c>
      <c r="CQ12" s="379">
        <v>6408</v>
      </c>
      <c r="CR12" s="380">
        <f t="shared" si="14"/>
        <v>6408</v>
      </c>
      <c r="CS12" s="382">
        <f aca="true" t="shared" si="44" ref="CS12:CS18">$C12*CQ12</f>
        <v>6408</v>
      </c>
      <c r="CT12" s="379">
        <v>292</v>
      </c>
      <c r="CU12" s="380">
        <f t="shared" si="15"/>
        <v>292</v>
      </c>
      <c r="CV12" s="382">
        <f aca="true" t="shared" si="45" ref="CV12:CV18">$C12*CT12</f>
        <v>292</v>
      </c>
      <c r="CW12" s="379">
        <v>7931</v>
      </c>
      <c r="CX12" s="380">
        <f t="shared" si="29"/>
        <v>7931</v>
      </c>
      <c r="CY12" s="382">
        <f t="shared" si="16"/>
        <v>7931</v>
      </c>
      <c r="CZ12" s="391">
        <v>54.2</v>
      </c>
      <c r="DA12" s="380">
        <v>1472</v>
      </c>
      <c r="DB12" s="392">
        <f t="shared" si="17"/>
        <v>5.387453874538745</v>
      </c>
      <c r="DC12" s="296">
        <f t="shared" si="23"/>
        <v>5.387453874538745</v>
      </c>
      <c r="DD12" s="296">
        <f t="shared" si="24"/>
        <v>5.387453874538745</v>
      </c>
    </row>
    <row r="13" spans="1:108" ht="12.75">
      <c r="A13" s="297" t="s">
        <v>172</v>
      </c>
      <c r="B13" s="361">
        <v>1</v>
      </c>
      <c r="C13" s="363">
        <v>1</v>
      </c>
      <c r="D13" s="378">
        <v>65.18092105263158</v>
      </c>
      <c r="E13" s="379">
        <v>2235200</v>
      </c>
      <c r="F13" s="380">
        <f t="shared" si="0"/>
        <v>2235200</v>
      </c>
      <c r="G13" s="380">
        <f t="shared" si="1"/>
        <v>2235200</v>
      </c>
      <c r="H13" s="383">
        <f>1584/2050</f>
        <v>0.7726829268292683</v>
      </c>
      <c r="I13" s="483">
        <f>$B13*H13</f>
        <v>0.7726829268292683</v>
      </c>
      <c r="J13" s="483">
        <f>$C13*H13</f>
        <v>0.7726829268292683</v>
      </c>
      <c r="K13" s="379">
        <v>445820</v>
      </c>
      <c r="L13" s="380">
        <f t="shared" si="2"/>
        <v>445820</v>
      </c>
      <c r="M13" s="382">
        <f t="shared" si="35"/>
        <v>445820</v>
      </c>
      <c r="N13" s="379">
        <v>31425000</v>
      </c>
      <c r="O13" s="380">
        <f t="shared" si="3"/>
        <v>31425000</v>
      </c>
      <c r="P13" s="380">
        <f t="shared" si="36"/>
        <v>31425000</v>
      </c>
      <c r="Q13" s="383">
        <f>16/31</f>
        <v>0.5161290322580645</v>
      </c>
      <c r="R13" s="483">
        <f t="shared" si="25"/>
        <v>0.5161290322580645</v>
      </c>
      <c r="S13" s="483">
        <f t="shared" si="26"/>
        <v>0.5161290322580645</v>
      </c>
      <c r="T13" s="398">
        <v>490000</v>
      </c>
      <c r="U13" s="380">
        <f t="shared" si="27"/>
        <v>490000</v>
      </c>
      <c r="V13" s="382">
        <f>$C13*T13</f>
        <v>490000</v>
      </c>
      <c r="W13" s="398">
        <v>750000</v>
      </c>
      <c r="X13" s="380">
        <f>$B13*W13</f>
        <v>750000</v>
      </c>
      <c r="Y13" s="382">
        <f>$C13*W13</f>
        <v>750000</v>
      </c>
      <c r="Z13" s="483">
        <f t="shared" si="30"/>
        <v>1.530612244897959</v>
      </c>
      <c r="AA13" s="379">
        <v>92847</v>
      </c>
      <c r="AB13" s="380">
        <f t="shared" si="4"/>
        <v>92847</v>
      </c>
      <c r="AC13" s="380">
        <f t="shared" si="37"/>
        <v>92847</v>
      </c>
      <c r="AD13" s="384">
        <f>174/90055</f>
        <v>0.00193215257342735</v>
      </c>
      <c r="AE13" s="384">
        <f t="shared" si="5"/>
        <v>0.00193215257342735</v>
      </c>
      <c r="AF13" s="384">
        <f>$C13*AD13</f>
        <v>0.00193215257342735</v>
      </c>
      <c r="AG13" s="385">
        <f>(1273+654)/90055</f>
        <v>0.021398034534451167</v>
      </c>
      <c r="AH13" s="490">
        <f t="shared" si="6"/>
        <v>0.021398034534451167</v>
      </c>
      <c r="AI13" s="490">
        <f>$C13*AG13</f>
        <v>0.021398034534451167</v>
      </c>
      <c r="AJ13" s="398">
        <v>2900</v>
      </c>
      <c r="AK13" s="399">
        <f>$B13*AJ13</f>
        <v>2900</v>
      </c>
      <c r="AL13" s="399">
        <f>$C13*AJ13</f>
        <v>2900</v>
      </c>
      <c r="AM13" s="398">
        <v>44000</v>
      </c>
      <c r="AN13" s="380">
        <f>$B13*AM13</f>
        <v>44000</v>
      </c>
      <c r="AO13" s="382">
        <f>$C13*AM13</f>
        <v>44000</v>
      </c>
      <c r="AP13" s="483">
        <f t="shared" si="7"/>
        <v>15.172413793103448</v>
      </c>
      <c r="AQ13" s="380">
        <v>5426000</v>
      </c>
      <c r="AR13" s="380">
        <f t="shared" si="8"/>
        <v>5426000</v>
      </c>
      <c r="AS13" s="380">
        <f t="shared" si="38"/>
        <v>5426000</v>
      </c>
      <c r="AT13" s="385">
        <f>(165856+39196)/5352254</f>
        <v>0.03831133574751871</v>
      </c>
      <c r="AU13" s="490">
        <f t="shared" si="28"/>
        <v>0.03831133574751871</v>
      </c>
      <c r="AV13" s="490">
        <f>$C13*AT13</f>
        <v>0.03831133574751871</v>
      </c>
      <c r="AW13" s="398">
        <v>35000</v>
      </c>
      <c r="AX13" s="387">
        <f t="shared" si="9"/>
        <v>35000</v>
      </c>
      <c r="AY13" s="388">
        <f>$C13*AW13</f>
        <v>35000</v>
      </c>
      <c r="AZ13" s="379">
        <v>2203</v>
      </c>
      <c r="BA13" s="380">
        <f t="shared" si="10"/>
        <v>2203</v>
      </c>
      <c r="BB13" s="382">
        <f>$C13*AZ13</f>
        <v>2203</v>
      </c>
      <c r="BC13" s="379">
        <v>196000</v>
      </c>
      <c r="BD13" s="380">
        <f t="shared" si="11"/>
        <v>196000</v>
      </c>
      <c r="BE13" s="382">
        <f>$C13*BC13</f>
        <v>196000</v>
      </c>
      <c r="BF13" s="483">
        <f t="shared" si="18"/>
        <v>5.6</v>
      </c>
      <c r="BG13" s="379">
        <v>812700</v>
      </c>
      <c r="BH13" s="380">
        <f>$B13*BG13</f>
        <v>812700</v>
      </c>
      <c r="BI13" s="382">
        <f>$C13*BG13</f>
        <v>812700</v>
      </c>
      <c r="BJ13" s="379">
        <v>315900</v>
      </c>
      <c r="BK13" s="380">
        <f t="shared" si="12"/>
        <v>315900</v>
      </c>
      <c r="BL13" s="382">
        <f t="shared" si="39"/>
        <v>315900</v>
      </c>
      <c r="BM13" s="527">
        <v>118280</v>
      </c>
      <c r="BN13" s="380">
        <f t="shared" si="13"/>
        <v>118280</v>
      </c>
      <c r="BO13" s="380">
        <f t="shared" si="40"/>
        <v>118280</v>
      </c>
      <c r="BP13" s="398">
        <v>148377</v>
      </c>
      <c r="BQ13" s="399">
        <f t="shared" si="19"/>
        <v>148377</v>
      </c>
      <c r="BR13" s="399">
        <f t="shared" si="20"/>
        <v>148377</v>
      </c>
      <c r="BS13" s="399">
        <f>39000+96504</f>
        <v>135504</v>
      </c>
      <c r="BT13" s="399">
        <f>5252+7621</f>
        <v>12873</v>
      </c>
      <c r="BU13" s="567">
        <v>89000</v>
      </c>
      <c r="BV13" s="399">
        <f t="shared" si="31"/>
        <v>89000</v>
      </c>
      <c r="BW13" s="399">
        <f t="shared" si="41"/>
        <v>89000</v>
      </c>
      <c r="BX13" s="550">
        <f t="shared" si="34"/>
        <v>1.6671573033707865</v>
      </c>
      <c r="BY13" s="398">
        <v>106381</v>
      </c>
      <c r="BZ13" s="399">
        <f t="shared" si="21"/>
        <v>106381</v>
      </c>
      <c r="CA13" s="399">
        <f t="shared" si="22"/>
        <v>106381</v>
      </c>
      <c r="CB13" s="399">
        <f>95576+456</f>
        <v>96032</v>
      </c>
      <c r="CC13" s="399">
        <v>10349</v>
      </c>
      <c r="CD13" s="567">
        <v>34200</v>
      </c>
      <c r="CE13" s="399">
        <f t="shared" si="32"/>
        <v>34200</v>
      </c>
      <c r="CF13" s="406">
        <f t="shared" si="42"/>
        <v>34200</v>
      </c>
      <c r="CG13" s="550">
        <f>BY13/CD13</f>
        <v>3.1105555555555555</v>
      </c>
      <c r="CH13" s="398">
        <v>530</v>
      </c>
      <c r="CI13" s="380">
        <f t="shared" si="33"/>
        <v>530</v>
      </c>
      <c r="CJ13" s="382">
        <f t="shared" si="43"/>
        <v>530</v>
      </c>
      <c r="CK13" s="379">
        <v>7864</v>
      </c>
      <c r="CL13" s="389">
        <f>$B13*CK13</f>
        <v>7864</v>
      </c>
      <c r="CM13" s="390">
        <f>$C13*CK13</f>
        <v>7864</v>
      </c>
      <c r="CN13" s="379">
        <v>900</v>
      </c>
      <c r="CO13" s="380">
        <f>$B13*CN13</f>
        <v>900</v>
      </c>
      <c r="CP13" s="382">
        <f>$C13*CN13</f>
        <v>900</v>
      </c>
      <c r="CQ13" s="379">
        <v>65024</v>
      </c>
      <c r="CR13" s="380">
        <f t="shared" si="14"/>
        <v>65024</v>
      </c>
      <c r="CS13" s="382">
        <f t="shared" si="44"/>
        <v>65024</v>
      </c>
      <c r="CT13" s="379">
        <v>3963</v>
      </c>
      <c r="CU13" s="380">
        <f t="shared" si="15"/>
        <v>3963</v>
      </c>
      <c r="CV13" s="382">
        <f t="shared" si="45"/>
        <v>3963</v>
      </c>
      <c r="CW13" s="379">
        <v>81251</v>
      </c>
      <c r="CX13" s="380">
        <f t="shared" si="29"/>
        <v>81251</v>
      </c>
      <c r="CY13" s="382">
        <f t="shared" si="16"/>
        <v>81251</v>
      </c>
      <c r="CZ13" s="391">
        <v>60.8</v>
      </c>
      <c r="DA13" s="380">
        <v>1246</v>
      </c>
      <c r="DB13" s="392">
        <f t="shared" si="17"/>
        <v>65.18092105263158</v>
      </c>
      <c r="DC13" s="296">
        <f t="shared" si="23"/>
        <v>65.18092105263158</v>
      </c>
      <c r="DD13" s="296">
        <f t="shared" si="24"/>
        <v>65.18092105263158</v>
      </c>
    </row>
    <row r="14" spans="1:108" ht="15">
      <c r="A14" s="297" t="s">
        <v>173</v>
      </c>
      <c r="B14" s="361">
        <v>1</v>
      </c>
      <c r="C14" s="363">
        <v>1</v>
      </c>
      <c r="D14" s="378">
        <v>81.81632653061224</v>
      </c>
      <c r="E14" s="379">
        <v>3173634</v>
      </c>
      <c r="F14" s="380">
        <f t="shared" si="0"/>
        <v>3173634</v>
      </c>
      <c r="G14" s="380">
        <f t="shared" si="1"/>
        <v>3173634</v>
      </c>
      <c r="H14" s="383">
        <f>1361/3090</f>
        <v>0.44045307443365694</v>
      </c>
      <c r="I14" s="483">
        <f>$B14*H14</f>
        <v>0.44045307443365694</v>
      </c>
      <c r="J14" s="483">
        <f>$C14*H14</f>
        <v>0.44045307443365694</v>
      </c>
      <c r="K14" s="379">
        <v>604124</v>
      </c>
      <c r="L14" s="380">
        <f t="shared" si="2"/>
        <v>604124</v>
      </c>
      <c r="M14" s="382">
        <f t="shared" si="35"/>
        <v>604124</v>
      </c>
      <c r="N14" s="379">
        <v>42927647</v>
      </c>
      <c r="O14" s="380">
        <f t="shared" si="3"/>
        <v>42927647</v>
      </c>
      <c r="P14" s="380">
        <f t="shared" si="36"/>
        <v>42927647</v>
      </c>
      <c r="Q14" s="383">
        <f>10.3/41.3</f>
        <v>0.2493946731234867</v>
      </c>
      <c r="R14" s="483">
        <f t="shared" si="25"/>
        <v>0.2493946731234867</v>
      </c>
      <c r="S14" s="483">
        <f t="shared" si="26"/>
        <v>0.2493946731234867</v>
      </c>
      <c r="T14" s="398">
        <v>600000</v>
      </c>
      <c r="U14" s="380">
        <f t="shared" si="27"/>
        <v>600000</v>
      </c>
      <c r="V14" s="382">
        <f>$C14*T14</f>
        <v>600000</v>
      </c>
      <c r="W14" s="386"/>
      <c r="X14" s="380"/>
      <c r="Y14" s="382"/>
      <c r="Z14" s="483"/>
      <c r="AA14" s="379">
        <v>75270</v>
      </c>
      <c r="AB14" s="380">
        <f t="shared" si="4"/>
        <v>75270</v>
      </c>
      <c r="AC14" s="380">
        <f t="shared" si="37"/>
        <v>75270</v>
      </c>
      <c r="AD14" s="384">
        <f>92/75270</f>
        <v>0.0012222665072406005</v>
      </c>
      <c r="AE14" s="384">
        <f t="shared" si="5"/>
        <v>0.0012222665072406005</v>
      </c>
      <c r="AF14" s="384">
        <f>$C14*AD14</f>
        <v>0.0012222665072406005</v>
      </c>
      <c r="AG14" s="385">
        <f>(122+1646)/75270</f>
        <v>0.023488773747841106</v>
      </c>
      <c r="AH14" s="490">
        <f t="shared" si="6"/>
        <v>0.023488773747841106</v>
      </c>
      <c r="AI14" s="490">
        <f>$C14*AG14</f>
        <v>0.023488773747841106</v>
      </c>
      <c r="AJ14" s="398">
        <v>4000</v>
      </c>
      <c r="AK14" s="380">
        <f>$B14*AJ14</f>
        <v>4000</v>
      </c>
      <c r="AL14" s="380">
        <f>$C14*AJ14</f>
        <v>4000</v>
      </c>
      <c r="AM14" s="386"/>
      <c r="AN14" s="380"/>
      <c r="AO14" s="382"/>
      <c r="AP14" s="483"/>
      <c r="AQ14" s="380">
        <v>8926880</v>
      </c>
      <c r="AR14" s="380">
        <f t="shared" si="8"/>
        <v>8926880</v>
      </c>
      <c r="AS14" s="380">
        <f t="shared" si="38"/>
        <v>8926880</v>
      </c>
      <c r="AT14" s="385">
        <f>(142221+19842)/2346678</f>
        <v>0.06906060396867401</v>
      </c>
      <c r="AU14" s="490">
        <f t="shared" si="28"/>
        <v>0.06906060396867401</v>
      </c>
      <c r="AV14" s="490">
        <f>$C14*AT14</f>
        <v>0.06906060396867401</v>
      </c>
      <c r="AW14" s="398">
        <v>87000</v>
      </c>
      <c r="AX14" s="387">
        <f t="shared" si="9"/>
        <v>87000</v>
      </c>
      <c r="AY14" s="388">
        <f>$C14*AW14</f>
        <v>87000</v>
      </c>
      <c r="AZ14" s="379">
        <v>3078</v>
      </c>
      <c r="BA14" s="380">
        <f t="shared" si="10"/>
        <v>3078</v>
      </c>
      <c r="BB14" s="382">
        <f>$C14*AZ14</f>
        <v>3078</v>
      </c>
      <c r="BC14" s="379">
        <v>341551</v>
      </c>
      <c r="BD14" s="380">
        <f t="shared" si="11"/>
        <v>341551</v>
      </c>
      <c r="BE14" s="382">
        <f>$C14*BC14</f>
        <v>341551</v>
      </c>
      <c r="BF14" s="483">
        <f t="shared" si="18"/>
        <v>3.9258735632183908</v>
      </c>
      <c r="BG14" s="379"/>
      <c r="BH14" s="395"/>
      <c r="BI14" s="396"/>
      <c r="BJ14" s="379">
        <v>323848</v>
      </c>
      <c r="BK14" s="380">
        <f t="shared" si="12"/>
        <v>323848</v>
      </c>
      <c r="BL14" s="382">
        <f t="shared" si="39"/>
        <v>323848</v>
      </c>
      <c r="BM14" s="527">
        <v>140970</v>
      </c>
      <c r="BN14" s="380">
        <f t="shared" si="13"/>
        <v>140970</v>
      </c>
      <c r="BO14" s="380">
        <f t="shared" si="40"/>
        <v>140970</v>
      </c>
      <c r="BP14" s="398">
        <v>166869</v>
      </c>
      <c r="BQ14" s="399">
        <f t="shared" si="19"/>
        <v>166869</v>
      </c>
      <c r="BR14" s="399">
        <f t="shared" si="20"/>
        <v>166869</v>
      </c>
      <c r="BS14" s="399">
        <f>119191+13738</f>
        <v>132929</v>
      </c>
      <c r="BT14" s="399">
        <f>23188+9254</f>
        <v>32442</v>
      </c>
      <c r="BU14" s="567">
        <v>85114</v>
      </c>
      <c r="BV14" s="399">
        <f t="shared" si="31"/>
        <v>85114</v>
      </c>
      <c r="BW14" s="399">
        <f t="shared" si="41"/>
        <v>85114</v>
      </c>
      <c r="BX14" s="550">
        <f t="shared" si="34"/>
        <v>1.9605352820922528</v>
      </c>
      <c r="BY14" s="398">
        <v>179108</v>
      </c>
      <c r="BZ14" s="399">
        <f t="shared" si="21"/>
        <v>179108</v>
      </c>
      <c r="CA14" s="399">
        <f t="shared" si="22"/>
        <v>179108</v>
      </c>
      <c r="CB14" s="579">
        <f>144274</f>
        <v>144274</v>
      </c>
      <c r="CC14" s="399">
        <f>34621+32</f>
        <v>34653</v>
      </c>
      <c r="CD14" s="567">
        <v>113317</v>
      </c>
      <c r="CE14" s="399">
        <f t="shared" si="32"/>
        <v>113317</v>
      </c>
      <c r="CF14" s="406">
        <f t="shared" si="42"/>
        <v>113317</v>
      </c>
      <c r="CG14" s="550">
        <f>BY14/CD14</f>
        <v>1.5805924971540015</v>
      </c>
      <c r="CH14" s="398">
        <v>1170</v>
      </c>
      <c r="CI14" s="380">
        <f t="shared" si="33"/>
        <v>1170</v>
      </c>
      <c r="CJ14" s="382">
        <f t="shared" si="43"/>
        <v>1170</v>
      </c>
      <c r="CK14" s="379">
        <v>55027</v>
      </c>
      <c r="CL14" s="389">
        <f>$B14*CK14</f>
        <v>55027</v>
      </c>
      <c r="CM14" s="390">
        <f>$C14*CK14</f>
        <v>55027</v>
      </c>
      <c r="CN14" s="379">
        <v>800</v>
      </c>
      <c r="CO14" s="380">
        <f>$B14*CN14</f>
        <v>800</v>
      </c>
      <c r="CP14" s="382">
        <f>$C14*CN14</f>
        <v>800</v>
      </c>
      <c r="CQ14" s="379">
        <v>306266</v>
      </c>
      <c r="CR14" s="380">
        <f t="shared" si="14"/>
        <v>306266</v>
      </c>
      <c r="CS14" s="382">
        <f t="shared" si="44"/>
        <v>306266</v>
      </c>
      <c r="CT14" s="379">
        <v>4009</v>
      </c>
      <c r="CU14" s="380">
        <f t="shared" si="15"/>
        <v>4009</v>
      </c>
      <c r="CV14" s="382">
        <f t="shared" si="45"/>
        <v>4009</v>
      </c>
      <c r="CW14" s="379"/>
      <c r="CX14" s="395"/>
      <c r="CY14" s="396"/>
      <c r="CZ14" s="391">
        <v>49</v>
      </c>
      <c r="DA14" s="380"/>
      <c r="DB14" s="392">
        <f t="shared" si="17"/>
        <v>81.81632653061224</v>
      </c>
      <c r="DC14" s="296">
        <f t="shared" si="23"/>
        <v>81.81632653061224</v>
      </c>
      <c r="DD14" s="296">
        <f t="shared" si="24"/>
        <v>81.81632653061224</v>
      </c>
    </row>
    <row r="15" spans="1:108" ht="15">
      <c r="A15" s="297" t="s">
        <v>174</v>
      </c>
      <c r="B15" s="361">
        <v>1</v>
      </c>
      <c r="C15" s="363">
        <v>1</v>
      </c>
      <c r="D15" s="378">
        <v>10.815165876777252</v>
      </c>
      <c r="E15" s="379">
        <v>64301</v>
      </c>
      <c r="F15" s="380">
        <f t="shared" si="0"/>
        <v>64301</v>
      </c>
      <c r="G15" s="380">
        <f t="shared" si="1"/>
        <v>64301</v>
      </c>
      <c r="H15" s="381"/>
      <c r="I15" s="482"/>
      <c r="J15" s="482"/>
      <c r="K15" s="379">
        <v>12917</v>
      </c>
      <c r="L15" s="380">
        <f t="shared" si="2"/>
        <v>12917</v>
      </c>
      <c r="M15" s="382">
        <f t="shared" si="35"/>
        <v>12917</v>
      </c>
      <c r="N15" s="379">
        <v>5167557</v>
      </c>
      <c r="O15" s="380">
        <f t="shared" si="3"/>
        <v>5167557</v>
      </c>
      <c r="P15" s="380">
        <f t="shared" si="36"/>
        <v>5167557</v>
      </c>
      <c r="Q15" s="381"/>
      <c r="R15" s="482"/>
      <c r="S15" s="482"/>
      <c r="T15" s="386"/>
      <c r="U15" s="380"/>
      <c r="V15" s="382"/>
      <c r="W15" s="386"/>
      <c r="X15" s="380"/>
      <c r="Y15" s="382"/>
      <c r="Z15" s="483"/>
      <c r="AA15" s="386">
        <v>27000</v>
      </c>
      <c r="AB15" s="380">
        <f t="shared" si="4"/>
        <v>27000</v>
      </c>
      <c r="AC15" s="380">
        <f t="shared" si="37"/>
        <v>27000</v>
      </c>
      <c r="AD15" s="400"/>
      <c r="AE15" s="400"/>
      <c r="AF15" s="400"/>
      <c r="AG15" s="401"/>
      <c r="AH15" s="492"/>
      <c r="AI15" s="492"/>
      <c r="AJ15" s="386"/>
      <c r="AK15" s="380"/>
      <c r="AL15" s="380"/>
      <c r="AM15" s="386"/>
      <c r="AN15" s="380"/>
      <c r="AO15" s="382"/>
      <c r="AP15" s="483"/>
      <c r="AQ15" s="380">
        <v>1318918</v>
      </c>
      <c r="AR15" s="380">
        <f t="shared" si="8"/>
        <v>1318918</v>
      </c>
      <c r="AS15" s="380">
        <f t="shared" si="38"/>
        <v>1318918</v>
      </c>
      <c r="AT15" s="401"/>
      <c r="AU15" s="492"/>
      <c r="AV15" s="492"/>
      <c r="AW15" s="386"/>
      <c r="AX15" s="402"/>
      <c r="AY15" s="403"/>
      <c r="AZ15" s="386"/>
      <c r="BA15" s="404"/>
      <c r="BB15" s="405"/>
      <c r="BC15" s="386"/>
      <c r="BD15" s="404"/>
      <c r="BE15" s="405"/>
      <c r="BF15" s="482"/>
      <c r="BG15" s="379"/>
      <c r="BH15" s="395"/>
      <c r="BI15" s="396"/>
      <c r="BJ15" s="379">
        <v>20597</v>
      </c>
      <c r="BK15" s="380">
        <f t="shared" si="12"/>
        <v>20597</v>
      </c>
      <c r="BL15" s="382">
        <f t="shared" si="39"/>
        <v>20597</v>
      </c>
      <c r="BM15" s="527">
        <v>18730</v>
      </c>
      <c r="BN15" s="380">
        <f t="shared" si="13"/>
        <v>18730</v>
      </c>
      <c r="BO15" s="380">
        <f t="shared" si="40"/>
        <v>18730</v>
      </c>
      <c r="BP15" s="379">
        <v>3418</v>
      </c>
      <c r="BQ15" s="380">
        <f t="shared" si="19"/>
        <v>3418</v>
      </c>
      <c r="BR15" s="380">
        <f t="shared" si="20"/>
        <v>3418</v>
      </c>
      <c r="BS15" s="404">
        <f>130+434</f>
        <v>564</v>
      </c>
      <c r="BT15" s="404">
        <f>1884+1662</f>
        <v>3546</v>
      </c>
      <c r="BU15" s="562">
        <v>958</v>
      </c>
      <c r="BV15" s="380">
        <f t="shared" si="31"/>
        <v>958</v>
      </c>
      <c r="BW15" s="380">
        <f t="shared" si="41"/>
        <v>958</v>
      </c>
      <c r="BX15" s="383">
        <f t="shared" si="34"/>
        <v>3.567849686847599</v>
      </c>
      <c r="BY15" s="379">
        <v>2882</v>
      </c>
      <c r="BZ15" s="380">
        <f t="shared" si="21"/>
        <v>2882</v>
      </c>
      <c r="CA15" s="380">
        <f t="shared" si="22"/>
        <v>2882</v>
      </c>
      <c r="CB15" s="404">
        <v>757</v>
      </c>
      <c r="CC15" s="404">
        <v>2071</v>
      </c>
      <c r="CD15" s="562">
        <v>785</v>
      </c>
      <c r="CE15" s="380">
        <f t="shared" si="32"/>
        <v>785</v>
      </c>
      <c r="CF15" s="382">
        <f t="shared" si="42"/>
        <v>785</v>
      </c>
      <c r="CG15" s="383"/>
      <c r="CH15" s="379">
        <v>60</v>
      </c>
      <c r="CI15" s="380">
        <f t="shared" si="33"/>
        <v>60</v>
      </c>
      <c r="CJ15" s="382">
        <f t="shared" si="43"/>
        <v>60</v>
      </c>
      <c r="CK15" s="379"/>
      <c r="CL15" s="395"/>
      <c r="CM15" s="396"/>
      <c r="CN15" s="379"/>
      <c r="CO15" s="395"/>
      <c r="CP15" s="396"/>
      <c r="CQ15" s="379">
        <v>13849</v>
      </c>
      <c r="CR15" s="380">
        <f t="shared" si="14"/>
        <v>13849</v>
      </c>
      <c r="CS15" s="382">
        <f t="shared" si="44"/>
        <v>13849</v>
      </c>
      <c r="CT15" s="379">
        <v>1141</v>
      </c>
      <c r="CU15" s="380">
        <f t="shared" si="15"/>
        <v>1141</v>
      </c>
      <c r="CV15" s="382">
        <f t="shared" si="45"/>
        <v>1141</v>
      </c>
      <c r="CW15" s="379">
        <v>17259</v>
      </c>
      <c r="CX15" s="380">
        <f aca="true" t="shared" si="46" ref="CX15:CX22">$B15*CW15</f>
        <v>17259</v>
      </c>
      <c r="CY15" s="382">
        <f t="shared" si="16"/>
        <v>17259</v>
      </c>
      <c r="CZ15" s="391">
        <v>105.5</v>
      </c>
      <c r="DA15" s="380">
        <v>1596</v>
      </c>
      <c r="DB15" s="392">
        <f t="shared" si="17"/>
        <v>10.815165876777252</v>
      </c>
      <c r="DC15" s="296">
        <f t="shared" si="23"/>
        <v>10.815165876777252</v>
      </c>
      <c r="DD15" s="296">
        <f t="shared" si="24"/>
        <v>10.815165876777252</v>
      </c>
    </row>
    <row r="16" spans="1:108" ht="15">
      <c r="A16" s="297" t="s">
        <v>175</v>
      </c>
      <c r="B16" s="361">
        <v>1</v>
      </c>
      <c r="C16" s="363">
        <v>1</v>
      </c>
      <c r="D16" s="378">
        <v>9.96875</v>
      </c>
      <c r="E16" s="379">
        <v>76471</v>
      </c>
      <c r="F16" s="380">
        <f t="shared" si="0"/>
        <v>76471</v>
      </c>
      <c r="G16" s="380">
        <f t="shared" si="1"/>
        <v>76471</v>
      </c>
      <c r="H16" s="383">
        <f>65/176</f>
        <v>0.3693181818181818</v>
      </c>
      <c r="I16" s="483">
        <f>$B16*H16</f>
        <v>0.3693181818181818</v>
      </c>
      <c r="J16" s="483">
        <f>$C16*H16</f>
        <v>0.3693181818181818</v>
      </c>
      <c r="K16" s="379">
        <v>27040</v>
      </c>
      <c r="L16" s="380">
        <f t="shared" si="2"/>
        <v>27040</v>
      </c>
      <c r="M16" s="382">
        <f t="shared" si="35"/>
        <v>27040</v>
      </c>
      <c r="N16" s="379">
        <v>2967808</v>
      </c>
      <c r="O16" s="380">
        <f t="shared" si="3"/>
        <v>2967808</v>
      </c>
      <c r="P16" s="380">
        <f t="shared" si="36"/>
        <v>2967808</v>
      </c>
      <c r="Q16" s="383">
        <f>0.6/3.1</f>
        <v>0.1935483870967742</v>
      </c>
      <c r="R16" s="483">
        <f>$B16*Q16</f>
        <v>0.1935483870967742</v>
      </c>
      <c r="S16" s="483">
        <f>$C16*Q16</f>
        <v>0.1935483870967742</v>
      </c>
      <c r="T16" s="379">
        <v>27700</v>
      </c>
      <c r="U16" s="380">
        <f>$B16*T16</f>
        <v>27700</v>
      </c>
      <c r="V16" s="382">
        <f>$C16*T16</f>
        <v>27700</v>
      </c>
      <c r="W16" s="386"/>
      <c r="X16" s="380"/>
      <c r="Y16" s="382"/>
      <c r="Z16" s="483"/>
      <c r="AA16" s="379">
        <v>17995</v>
      </c>
      <c r="AB16" s="380">
        <f t="shared" si="4"/>
        <v>17995</v>
      </c>
      <c r="AC16" s="380">
        <f t="shared" si="37"/>
        <v>17995</v>
      </c>
      <c r="AD16" s="384">
        <f>1/17995</f>
        <v>5.557099194220617E-05</v>
      </c>
      <c r="AE16" s="384">
        <f>$B16*AD16</f>
        <v>5.557099194220617E-05</v>
      </c>
      <c r="AF16" s="384">
        <f>$C16*AD16</f>
        <v>5.557099194220617E-05</v>
      </c>
      <c r="AG16" s="385">
        <f>(446+90)/17995</f>
        <v>0.029786051681022507</v>
      </c>
      <c r="AH16" s="490">
        <f>$B16*AG16</f>
        <v>0.029786051681022507</v>
      </c>
      <c r="AI16" s="490">
        <f>$C16*AG16</f>
        <v>0.029786051681022507</v>
      </c>
      <c r="AJ16" s="379">
        <v>663</v>
      </c>
      <c r="AK16" s="380">
        <f>$B16*AJ16</f>
        <v>663</v>
      </c>
      <c r="AL16" s="380">
        <f>$C16*AJ16</f>
        <v>663</v>
      </c>
      <c r="AM16" s="379">
        <v>19929</v>
      </c>
      <c r="AN16" s="380">
        <f>$B16*AM16</f>
        <v>19929</v>
      </c>
      <c r="AO16" s="382">
        <f>$C16*AM16</f>
        <v>19929</v>
      </c>
      <c r="AP16" s="483">
        <f t="shared" si="7"/>
        <v>30.058823529411764</v>
      </c>
      <c r="AQ16" s="380">
        <v>409588</v>
      </c>
      <c r="AR16" s="380">
        <f t="shared" si="8"/>
        <v>409588</v>
      </c>
      <c r="AS16" s="380">
        <f t="shared" si="38"/>
        <v>409588</v>
      </c>
      <c r="AT16" s="385">
        <f>(37332+233)/409588</f>
        <v>0.09171411271814604</v>
      </c>
      <c r="AU16" s="490">
        <f>$B16*AT16</f>
        <v>0.09171411271814604</v>
      </c>
      <c r="AV16" s="490">
        <f>$C16*AT16</f>
        <v>0.09171411271814604</v>
      </c>
      <c r="AW16" s="379">
        <v>11451</v>
      </c>
      <c r="AX16" s="387">
        <f>$B16*AW16</f>
        <v>11451</v>
      </c>
      <c r="AY16" s="388">
        <f>$C16*AW16</f>
        <v>11451</v>
      </c>
      <c r="AZ16" s="379">
        <v>258</v>
      </c>
      <c r="BA16" s="380">
        <f aca="true" t="shared" si="47" ref="BA16:BA21">$B16*AZ16</f>
        <v>258</v>
      </c>
      <c r="BB16" s="382">
        <f>$C16*AZ16</f>
        <v>258</v>
      </c>
      <c r="BC16" s="379">
        <v>35743</v>
      </c>
      <c r="BD16" s="380">
        <f aca="true" t="shared" si="48" ref="BD16:BD21">$B16*BC16</f>
        <v>35743</v>
      </c>
      <c r="BE16" s="382">
        <f>$C16*BC16</f>
        <v>35743</v>
      </c>
      <c r="BF16" s="483">
        <f t="shared" si="18"/>
        <v>3.121386778447297</v>
      </c>
      <c r="BG16" s="379">
        <v>68510</v>
      </c>
      <c r="BH16" s="380">
        <f>$B16*BG16</f>
        <v>68510</v>
      </c>
      <c r="BI16" s="382">
        <f>$C16*BG16</f>
        <v>68510</v>
      </c>
      <c r="BJ16" s="379">
        <v>34528</v>
      </c>
      <c r="BK16" s="380">
        <f t="shared" si="12"/>
        <v>34528</v>
      </c>
      <c r="BL16" s="382">
        <f t="shared" si="39"/>
        <v>34528</v>
      </c>
      <c r="BM16" s="527">
        <v>11360</v>
      </c>
      <c r="BN16" s="380">
        <f t="shared" si="13"/>
        <v>11360</v>
      </c>
      <c r="BO16" s="380">
        <f t="shared" si="40"/>
        <v>11360</v>
      </c>
      <c r="BP16" s="379">
        <v>15976</v>
      </c>
      <c r="BQ16" s="380">
        <f t="shared" si="19"/>
        <v>15976</v>
      </c>
      <c r="BR16" s="380">
        <f t="shared" si="20"/>
        <v>15976</v>
      </c>
      <c r="BS16" s="404">
        <f>11420+1504</f>
        <v>12924</v>
      </c>
      <c r="BT16" s="404">
        <f>1458+1592</f>
        <v>3050</v>
      </c>
      <c r="BU16" s="562">
        <v>7806</v>
      </c>
      <c r="BV16" s="380">
        <f t="shared" si="31"/>
        <v>7806</v>
      </c>
      <c r="BW16" s="380">
        <f t="shared" si="41"/>
        <v>7806</v>
      </c>
      <c r="BX16" s="383">
        <f t="shared" si="34"/>
        <v>2.046630796822957</v>
      </c>
      <c r="BY16" s="379">
        <v>19087</v>
      </c>
      <c r="BZ16" s="380">
        <f t="shared" si="21"/>
        <v>19087</v>
      </c>
      <c r="CA16" s="380">
        <f t="shared" si="22"/>
        <v>19087</v>
      </c>
      <c r="CB16" s="404">
        <v>16285</v>
      </c>
      <c r="CC16" s="404">
        <v>2802</v>
      </c>
      <c r="CD16" s="562">
        <v>9118</v>
      </c>
      <c r="CE16" s="380">
        <f t="shared" si="32"/>
        <v>9118</v>
      </c>
      <c r="CF16" s="382">
        <f t="shared" si="42"/>
        <v>9118</v>
      </c>
      <c r="CG16" s="383">
        <f>BY16/CD16</f>
        <v>2.0933318710243474</v>
      </c>
      <c r="CH16" s="379">
        <v>170</v>
      </c>
      <c r="CI16" s="380">
        <f t="shared" si="33"/>
        <v>170</v>
      </c>
      <c r="CJ16" s="382">
        <f t="shared" si="43"/>
        <v>170</v>
      </c>
      <c r="CK16" s="379">
        <v>1840</v>
      </c>
      <c r="CL16" s="389">
        <f>$B16*CK16</f>
        <v>1840</v>
      </c>
      <c r="CM16" s="390">
        <f>$C16*CK16</f>
        <v>1840</v>
      </c>
      <c r="CN16" s="379"/>
      <c r="CO16" s="395"/>
      <c r="CP16" s="396"/>
      <c r="CQ16" s="379">
        <v>15827</v>
      </c>
      <c r="CR16" s="380">
        <f t="shared" si="14"/>
        <v>15827</v>
      </c>
      <c r="CS16" s="382">
        <f t="shared" si="44"/>
        <v>15827</v>
      </c>
      <c r="CT16" s="379">
        <v>638</v>
      </c>
      <c r="CU16" s="380">
        <f t="shared" si="15"/>
        <v>638</v>
      </c>
      <c r="CV16" s="382">
        <f t="shared" si="45"/>
        <v>638</v>
      </c>
      <c r="CW16" s="379">
        <v>20172</v>
      </c>
      <c r="CX16" s="380">
        <f t="shared" si="46"/>
        <v>20172</v>
      </c>
      <c r="CY16" s="382">
        <f t="shared" si="16"/>
        <v>20172</v>
      </c>
      <c r="CZ16" s="391">
        <v>64</v>
      </c>
      <c r="DA16" s="380">
        <v>2023</v>
      </c>
      <c r="DB16" s="392">
        <f t="shared" si="17"/>
        <v>9.96875</v>
      </c>
      <c r="DC16" s="296">
        <f t="shared" si="23"/>
        <v>9.96875</v>
      </c>
      <c r="DD16" s="296">
        <f t="shared" si="24"/>
        <v>9.96875</v>
      </c>
    </row>
    <row r="17" spans="1:108" ht="15">
      <c r="A17" s="297" t="s">
        <v>176</v>
      </c>
      <c r="B17" s="361">
        <v>1</v>
      </c>
      <c r="C17" s="363">
        <v>1</v>
      </c>
      <c r="D17" s="378">
        <v>4.520255863539446</v>
      </c>
      <c r="E17" s="379">
        <v>104022</v>
      </c>
      <c r="F17" s="380">
        <f t="shared" si="0"/>
        <v>104022</v>
      </c>
      <c r="G17" s="380">
        <f t="shared" si="1"/>
        <v>104022</v>
      </c>
      <c r="H17" s="381"/>
      <c r="I17" s="482"/>
      <c r="J17" s="482"/>
      <c r="K17" s="379">
        <v>11734</v>
      </c>
      <c r="L17" s="380">
        <f t="shared" si="2"/>
        <v>11734</v>
      </c>
      <c r="M17" s="382">
        <f t="shared" si="35"/>
        <v>11734</v>
      </c>
      <c r="N17" s="379">
        <v>1951470</v>
      </c>
      <c r="O17" s="380">
        <f t="shared" si="3"/>
        <v>1951470</v>
      </c>
      <c r="P17" s="380">
        <f t="shared" si="36"/>
        <v>1951470</v>
      </c>
      <c r="Q17" s="381"/>
      <c r="R17" s="482">
        <f>$B17*Q17</f>
        <v>0</v>
      </c>
      <c r="S17" s="482">
        <f>$C17*Q17</f>
        <v>0</v>
      </c>
      <c r="T17" s="386"/>
      <c r="U17" s="380"/>
      <c r="V17" s="382"/>
      <c r="W17" s="386"/>
      <c r="X17" s="380"/>
      <c r="Y17" s="382"/>
      <c r="Z17" s="483"/>
      <c r="AA17" s="386">
        <v>12111</v>
      </c>
      <c r="AB17" s="380">
        <f t="shared" si="4"/>
        <v>12111</v>
      </c>
      <c r="AC17" s="380">
        <f t="shared" si="37"/>
        <v>12111</v>
      </c>
      <c r="AD17" s="400"/>
      <c r="AE17" s="400"/>
      <c r="AF17" s="400"/>
      <c r="AG17" s="401"/>
      <c r="AH17" s="492"/>
      <c r="AI17" s="492"/>
      <c r="AJ17" s="386"/>
      <c r="AK17" s="380"/>
      <c r="AL17" s="380"/>
      <c r="AM17" s="386"/>
      <c r="AN17" s="380"/>
      <c r="AO17" s="382"/>
      <c r="AP17" s="483"/>
      <c r="AQ17" s="380">
        <v>312196</v>
      </c>
      <c r="AR17" s="380">
        <f t="shared" si="8"/>
        <v>312196</v>
      </c>
      <c r="AS17" s="380">
        <f t="shared" si="38"/>
        <v>312196</v>
      </c>
      <c r="AT17" s="401"/>
      <c r="AU17" s="492"/>
      <c r="AV17" s="492"/>
      <c r="AW17" s="386"/>
      <c r="AX17" s="402"/>
      <c r="AY17" s="403"/>
      <c r="AZ17" s="386">
        <v>246</v>
      </c>
      <c r="BA17" s="404">
        <f t="shared" si="47"/>
        <v>246</v>
      </c>
      <c r="BB17" s="405">
        <f>$C17*AZ17</f>
        <v>246</v>
      </c>
      <c r="BC17" s="386">
        <v>17289</v>
      </c>
      <c r="BD17" s="404">
        <f t="shared" si="48"/>
        <v>17289</v>
      </c>
      <c r="BE17" s="405">
        <f>$C17*BC17</f>
        <v>17289</v>
      </c>
      <c r="BF17" s="482"/>
      <c r="BG17" s="379"/>
      <c r="BH17" s="395"/>
      <c r="BI17" s="396"/>
      <c r="BJ17" s="379">
        <v>9941</v>
      </c>
      <c r="BK17" s="380">
        <f t="shared" si="12"/>
        <v>9941</v>
      </c>
      <c r="BL17" s="382">
        <f t="shared" si="39"/>
        <v>9941</v>
      </c>
      <c r="BM17" s="527">
        <v>11150</v>
      </c>
      <c r="BN17" s="380">
        <f t="shared" si="13"/>
        <v>11150</v>
      </c>
      <c r="BO17" s="380">
        <f t="shared" si="40"/>
        <v>11150</v>
      </c>
      <c r="BP17" s="398">
        <v>1715</v>
      </c>
      <c r="BQ17" s="399">
        <f t="shared" si="19"/>
        <v>1715</v>
      </c>
      <c r="BR17" s="399">
        <f t="shared" si="20"/>
        <v>1715</v>
      </c>
      <c r="BS17" s="404">
        <v>194</v>
      </c>
      <c r="BT17" s="404">
        <f>1301+220</f>
        <v>1521</v>
      </c>
      <c r="BU17" s="564">
        <v>1638</v>
      </c>
      <c r="BV17" s="534">
        <f t="shared" si="31"/>
        <v>1638</v>
      </c>
      <c r="BW17" s="534">
        <f t="shared" si="41"/>
        <v>1638</v>
      </c>
      <c r="BX17" s="549">
        <f t="shared" si="34"/>
        <v>1.047008547008547</v>
      </c>
      <c r="BY17" s="398">
        <v>2730</v>
      </c>
      <c r="BZ17" s="380">
        <f t="shared" si="21"/>
        <v>2730</v>
      </c>
      <c r="CA17" s="380">
        <f t="shared" si="22"/>
        <v>2730</v>
      </c>
      <c r="CB17" s="404">
        <v>0.1</v>
      </c>
      <c r="CC17" s="404">
        <v>2730</v>
      </c>
      <c r="CD17" s="567">
        <v>491</v>
      </c>
      <c r="CE17" s="380">
        <f t="shared" si="32"/>
        <v>491</v>
      </c>
      <c r="CF17" s="382">
        <f t="shared" si="42"/>
        <v>491</v>
      </c>
      <c r="CG17" s="383">
        <f>BY17/CD17</f>
        <v>5.560081466395112</v>
      </c>
      <c r="CH17" s="379">
        <v>120</v>
      </c>
      <c r="CI17" s="380">
        <f t="shared" si="33"/>
        <v>120</v>
      </c>
      <c r="CJ17" s="382">
        <f t="shared" si="43"/>
        <v>120</v>
      </c>
      <c r="CK17" s="379"/>
      <c r="CL17" s="395"/>
      <c r="CM17" s="396"/>
      <c r="CN17" s="379"/>
      <c r="CO17" s="395"/>
      <c r="CP17" s="396"/>
      <c r="CQ17" s="379">
        <v>5595</v>
      </c>
      <c r="CR17" s="380">
        <f t="shared" si="14"/>
        <v>5595</v>
      </c>
      <c r="CS17" s="382">
        <f t="shared" si="44"/>
        <v>5595</v>
      </c>
      <c r="CT17" s="379">
        <v>212</v>
      </c>
      <c r="CU17" s="380">
        <f t="shared" si="15"/>
        <v>212</v>
      </c>
      <c r="CV17" s="382">
        <f t="shared" si="45"/>
        <v>212</v>
      </c>
      <c r="CW17" s="379">
        <v>8270</v>
      </c>
      <c r="CX17" s="380">
        <f t="shared" si="46"/>
        <v>8270</v>
      </c>
      <c r="CY17" s="382">
        <f t="shared" si="16"/>
        <v>8270</v>
      </c>
      <c r="CZ17" s="391">
        <v>46.9</v>
      </c>
      <c r="DA17" s="380">
        <v>1830</v>
      </c>
      <c r="DB17" s="392">
        <f t="shared" si="17"/>
        <v>4.520255863539446</v>
      </c>
      <c r="DC17" s="296">
        <f t="shared" si="23"/>
        <v>4.520255863539446</v>
      </c>
      <c r="DD17" s="296">
        <f t="shared" si="24"/>
        <v>4.520255863539446</v>
      </c>
    </row>
    <row r="18" spans="1:108" ht="12.75">
      <c r="A18" s="297" t="s">
        <v>177</v>
      </c>
      <c r="B18" s="361">
        <v>1</v>
      </c>
      <c r="C18" s="363">
        <v>1</v>
      </c>
      <c r="D18" s="378">
        <v>60.691823899371066</v>
      </c>
      <c r="E18" s="379">
        <v>1749544</v>
      </c>
      <c r="F18" s="380">
        <f t="shared" si="0"/>
        <v>1749544</v>
      </c>
      <c r="G18" s="380">
        <f t="shared" si="1"/>
        <v>1749544</v>
      </c>
      <c r="H18" s="381"/>
      <c r="I18" s="482"/>
      <c r="J18" s="482"/>
      <c r="K18" s="379">
        <v>181560</v>
      </c>
      <c r="L18" s="380">
        <f t="shared" si="2"/>
        <v>181560</v>
      </c>
      <c r="M18" s="382">
        <f t="shared" si="35"/>
        <v>181560</v>
      </c>
      <c r="N18" s="379">
        <v>37113000</v>
      </c>
      <c r="O18" s="380">
        <f t="shared" si="3"/>
        <v>37113000</v>
      </c>
      <c r="P18" s="380">
        <f t="shared" si="36"/>
        <v>37113000</v>
      </c>
      <c r="Q18" s="383">
        <f>12/36</f>
        <v>0.3333333333333333</v>
      </c>
      <c r="R18" s="483">
        <f>$B18*Q18</f>
        <v>0.3333333333333333</v>
      </c>
      <c r="S18" s="483">
        <f>$C18*Q18</f>
        <v>0.3333333333333333</v>
      </c>
      <c r="T18" s="386"/>
      <c r="U18" s="380"/>
      <c r="V18" s="382"/>
      <c r="W18" s="386"/>
      <c r="X18" s="380"/>
      <c r="Y18" s="382"/>
      <c r="Z18" s="483"/>
      <c r="AA18" s="379">
        <v>99750</v>
      </c>
      <c r="AB18" s="380">
        <f t="shared" si="4"/>
        <v>99750</v>
      </c>
      <c r="AC18" s="380">
        <f t="shared" si="37"/>
        <v>99750</v>
      </c>
      <c r="AD18" s="400"/>
      <c r="AE18" s="400"/>
      <c r="AF18" s="400"/>
      <c r="AG18" s="401"/>
      <c r="AH18" s="492"/>
      <c r="AI18" s="492"/>
      <c r="AJ18" s="386"/>
      <c r="AK18" s="380"/>
      <c r="AL18" s="380"/>
      <c r="AM18" s="386"/>
      <c r="AN18" s="380"/>
      <c r="AO18" s="382"/>
      <c r="AP18" s="483"/>
      <c r="AQ18" s="380">
        <v>4535271</v>
      </c>
      <c r="AR18" s="380">
        <f t="shared" si="8"/>
        <v>4535271</v>
      </c>
      <c r="AS18" s="380">
        <f t="shared" si="38"/>
        <v>4535271</v>
      </c>
      <c r="AT18" s="401"/>
      <c r="AU18" s="492"/>
      <c r="AV18" s="492"/>
      <c r="AW18" s="386"/>
      <c r="AX18" s="402"/>
      <c r="AY18" s="403"/>
      <c r="AZ18" s="398">
        <v>1700</v>
      </c>
      <c r="BA18" s="399">
        <f t="shared" si="47"/>
        <v>1700</v>
      </c>
      <c r="BB18" s="406">
        <f>$C18*AZ18</f>
        <v>1700</v>
      </c>
      <c r="BC18" s="398">
        <v>265000</v>
      </c>
      <c r="BD18" s="404">
        <f t="shared" si="48"/>
        <v>265000</v>
      </c>
      <c r="BE18" s="405">
        <f>$C18*BC18</f>
        <v>265000</v>
      </c>
      <c r="BF18" s="482"/>
      <c r="BG18" s="379">
        <v>665818</v>
      </c>
      <c r="BH18" s="380">
        <f>$B18*BG18</f>
        <v>665818</v>
      </c>
      <c r="BI18" s="382">
        <f>$C18*BG18</f>
        <v>665818</v>
      </c>
      <c r="BJ18" s="379">
        <v>118565</v>
      </c>
      <c r="BK18" s="380">
        <f t="shared" si="12"/>
        <v>118565</v>
      </c>
      <c r="BL18" s="382">
        <f t="shared" si="39"/>
        <v>118565</v>
      </c>
      <c r="BM18" s="527">
        <v>101920</v>
      </c>
      <c r="BN18" s="380">
        <f t="shared" si="13"/>
        <v>101920</v>
      </c>
      <c r="BO18" s="380">
        <f t="shared" si="40"/>
        <v>101920</v>
      </c>
      <c r="BP18" s="398">
        <v>59381</v>
      </c>
      <c r="BQ18" s="399">
        <f t="shared" si="19"/>
        <v>59381</v>
      </c>
      <c r="BR18" s="399">
        <f t="shared" si="20"/>
        <v>59381</v>
      </c>
      <c r="BS18" s="404">
        <f>56476+818</f>
        <v>57294</v>
      </c>
      <c r="BT18" s="404">
        <f>1886+201</f>
        <v>2087</v>
      </c>
      <c r="BU18" s="564">
        <v>43736</v>
      </c>
      <c r="BV18" s="534">
        <f t="shared" si="31"/>
        <v>43736</v>
      </c>
      <c r="BW18" s="534">
        <f t="shared" si="41"/>
        <v>43736</v>
      </c>
      <c r="BX18" s="549">
        <f t="shared" si="34"/>
        <v>1.3577144686299616</v>
      </c>
      <c r="BY18" s="398">
        <v>30413</v>
      </c>
      <c r="BZ18" s="380">
        <f t="shared" si="21"/>
        <v>30413</v>
      </c>
      <c r="CA18" s="380">
        <f t="shared" si="22"/>
        <v>30413</v>
      </c>
      <c r="CB18" s="404">
        <v>29855</v>
      </c>
      <c r="CC18" s="404">
        <v>558</v>
      </c>
      <c r="CD18" s="562">
        <v>27432</v>
      </c>
      <c r="CE18" s="380">
        <f t="shared" si="32"/>
        <v>27432</v>
      </c>
      <c r="CF18" s="382">
        <f t="shared" si="42"/>
        <v>27432</v>
      </c>
      <c r="CG18" s="383">
        <f>BY18/CD18</f>
        <v>1.108668708078157</v>
      </c>
      <c r="CH18" s="379">
        <v>200</v>
      </c>
      <c r="CI18" s="380">
        <f t="shared" si="33"/>
        <v>200</v>
      </c>
      <c r="CJ18" s="382">
        <f t="shared" si="43"/>
        <v>200</v>
      </c>
      <c r="CK18" s="386"/>
      <c r="CL18" s="389">
        <f>$B18*CK18</f>
        <v>0</v>
      </c>
      <c r="CM18" s="390">
        <f>$C18*CK18</f>
        <v>0</v>
      </c>
      <c r="CN18" s="379">
        <v>3530</v>
      </c>
      <c r="CO18" s="380">
        <f>$B18*CN18</f>
        <v>3530</v>
      </c>
      <c r="CP18" s="382">
        <f>$C18*CN18</f>
        <v>3530</v>
      </c>
      <c r="CQ18" s="379">
        <v>205638</v>
      </c>
      <c r="CR18" s="380">
        <f t="shared" si="14"/>
        <v>205638</v>
      </c>
      <c r="CS18" s="382">
        <f t="shared" si="44"/>
        <v>205638</v>
      </c>
      <c r="CT18" s="379">
        <v>3860</v>
      </c>
      <c r="CU18" s="380">
        <f t="shared" si="15"/>
        <v>3860</v>
      </c>
      <c r="CV18" s="382">
        <f t="shared" si="45"/>
        <v>3860</v>
      </c>
      <c r="CW18" s="379">
        <v>292019</v>
      </c>
      <c r="CX18" s="380">
        <f t="shared" si="46"/>
        <v>292019</v>
      </c>
      <c r="CY18" s="382">
        <f t="shared" si="16"/>
        <v>292019</v>
      </c>
      <c r="CZ18" s="391">
        <v>63.6</v>
      </c>
      <c r="DA18" s="380">
        <v>4809</v>
      </c>
      <c r="DB18" s="392">
        <f t="shared" si="17"/>
        <v>60.691823899371066</v>
      </c>
      <c r="DC18" s="296">
        <f t="shared" si="23"/>
        <v>60.691823899371066</v>
      </c>
      <c r="DD18" s="296">
        <f t="shared" si="24"/>
        <v>60.691823899371066</v>
      </c>
    </row>
    <row r="19" spans="1:108" ht="15">
      <c r="A19" s="297" t="s">
        <v>178</v>
      </c>
      <c r="B19" s="361">
        <v>1</v>
      </c>
      <c r="C19" s="480" t="s">
        <v>167</v>
      </c>
      <c r="D19" s="455">
        <v>2.057471264367816</v>
      </c>
      <c r="E19" s="456">
        <v>43468</v>
      </c>
      <c r="F19" s="457">
        <f t="shared" si="0"/>
        <v>43468</v>
      </c>
      <c r="G19" s="457">
        <f t="shared" si="1"/>
        <v>0</v>
      </c>
      <c r="H19" s="458">
        <f>232/548</f>
        <v>0.4233576642335766</v>
      </c>
      <c r="I19" s="484">
        <f>$B19*H19</f>
        <v>0.4233576642335766</v>
      </c>
      <c r="J19" s="484"/>
      <c r="K19" s="456">
        <v>13826</v>
      </c>
      <c r="L19" s="457">
        <f t="shared" si="2"/>
        <v>13826</v>
      </c>
      <c r="M19" s="459"/>
      <c r="N19" s="456">
        <v>612320</v>
      </c>
      <c r="O19" s="457">
        <f t="shared" si="3"/>
        <v>612320</v>
      </c>
      <c r="P19" s="457"/>
      <c r="Q19" s="458">
        <f>0.23/0.94</f>
        <v>0.2446808510638298</v>
      </c>
      <c r="R19" s="484">
        <f>$B19*Q19</f>
        <v>0.2446808510638298</v>
      </c>
      <c r="S19" s="484">
        <f>$C19*Q19</f>
        <v>0</v>
      </c>
      <c r="T19" s="469"/>
      <c r="U19" s="457"/>
      <c r="V19" s="459"/>
      <c r="W19" s="456">
        <v>14253</v>
      </c>
      <c r="X19" s="457">
        <f>$B19*W19</f>
        <v>14253</v>
      </c>
      <c r="Y19" s="459"/>
      <c r="Z19" s="484"/>
      <c r="AA19" s="456">
        <v>10889</v>
      </c>
      <c r="AB19" s="457">
        <f t="shared" si="4"/>
        <v>10889</v>
      </c>
      <c r="AC19" s="457"/>
      <c r="AD19" s="461">
        <f>346/10889</f>
        <v>0.03177518596749013</v>
      </c>
      <c r="AE19" s="461">
        <f>$B19*AD19</f>
        <v>0.03177518596749013</v>
      </c>
      <c r="AF19" s="461"/>
      <c r="AG19" s="462">
        <f>(3845+9)/10889</f>
        <v>0.3539351639268987</v>
      </c>
      <c r="AH19" s="491">
        <f>$B19*AG19</f>
        <v>0.3539351639268987</v>
      </c>
      <c r="AI19" s="491"/>
      <c r="AJ19" s="469"/>
      <c r="AK19" s="457"/>
      <c r="AL19" s="457"/>
      <c r="AM19" s="456">
        <v>2916</v>
      </c>
      <c r="AN19" s="457">
        <f>$B19*AM19</f>
        <v>2916</v>
      </c>
      <c r="AO19" s="459"/>
      <c r="AP19" s="484"/>
      <c r="AQ19" s="457">
        <v>128786</v>
      </c>
      <c r="AR19" s="457">
        <f t="shared" si="8"/>
        <v>128786</v>
      </c>
      <c r="AS19" s="457"/>
      <c r="AT19" s="462">
        <f>(44146+163)/113978</f>
        <v>0.38875046061520646</v>
      </c>
      <c r="AU19" s="491">
        <f>$B19*AT19</f>
        <v>0.38875046061520646</v>
      </c>
      <c r="AV19" s="491"/>
      <c r="AW19" s="469"/>
      <c r="AX19" s="463"/>
      <c r="AY19" s="464"/>
      <c r="AZ19" s="456">
        <v>54</v>
      </c>
      <c r="BA19" s="457">
        <f t="shared" si="47"/>
        <v>54</v>
      </c>
      <c r="BB19" s="459"/>
      <c r="BC19" s="456">
        <v>12343</v>
      </c>
      <c r="BD19" s="457">
        <f t="shared" si="48"/>
        <v>12343</v>
      </c>
      <c r="BE19" s="459"/>
      <c r="BF19" s="484"/>
      <c r="BG19" s="456">
        <v>13739</v>
      </c>
      <c r="BH19" s="457">
        <f>$B19*BG19</f>
        <v>13739</v>
      </c>
      <c r="BI19" s="459"/>
      <c r="BJ19" s="456">
        <v>12131</v>
      </c>
      <c r="BK19" s="457">
        <f t="shared" si="12"/>
        <v>12131</v>
      </c>
      <c r="BL19" s="459"/>
      <c r="BM19" s="528">
        <v>2910</v>
      </c>
      <c r="BN19" s="457">
        <f t="shared" si="13"/>
        <v>2910</v>
      </c>
      <c r="BO19" s="457"/>
      <c r="BP19" s="456">
        <v>2126</v>
      </c>
      <c r="BQ19" s="457">
        <f t="shared" si="19"/>
        <v>2126</v>
      </c>
      <c r="BR19" s="457"/>
      <c r="BS19" s="474">
        <v>1200</v>
      </c>
      <c r="BT19" s="474">
        <f>326+600</f>
        <v>926</v>
      </c>
      <c r="BU19" s="565">
        <v>733</v>
      </c>
      <c r="BV19" s="457">
        <f t="shared" si="31"/>
        <v>733</v>
      </c>
      <c r="BW19" s="457"/>
      <c r="BX19" s="458">
        <f t="shared" si="34"/>
        <v>2.9004092769440657</v>
      </c>
      <c r="BY19" s="456">
        <v>31880</v>
      </c>
      <c r="BZ19" s="457">
        <f t="shared" si="21"/>
        <v>31880</v>
      </c>
      <c r="CA19" s="457"/>
      <c r="CB19" s="474">
        <v>0.1</v>
      </c>
      <c r="CC19" s="474">
        <v>31880</v>
      </c>
      <c r="CD19" s="565">
        <v>21410</v>
      </c>
      <c r="CE19" s="457">
        <f t="shared" si="32"/>
        <v>21410</v>
      </c>
      <c r="CF19" s="459"/>
      <c r="CG19" s="458">
        <f>BY19/CD19</f>
        <v>1.4890238206445585</v>
      </c>
      <c r="CH19" s="456">
        <v>210</v>
      </c>
      <c r="CI19" s="457">
        <f t="shared" si="33"/>
        <v>210</v>
      </c>
      <c r="CJ19" s="459"/>
      <c r="CK19" s="456"/>
      <c r="CL19" s="465"/>
      <c r="CM19" s="466"/>
      <c r="CN19" s="456"/>
      <c r="CO19" s="465"/>
      <c r="CP19" s="466"/>
      <c r="CQ19" s="456">
        <v>3386</v>
      </c>
      <c r="CR19" s="457">
        <f t="shared" si="14"/>
        <v>3386</v>
      </c>
      <c r="CS19" s="459"/>
      <c r="CT19" s="456">
        <v>179</v>
      </c>
      <c r="CU19" s="457">
        <f t="shared" si="15"/>
        <v>179</v>
      </c>
      <c r="CV19" s="459"/>
      <c r="CW19" s="456">
        <v>4224</v>
      </c>
      <c r="CX19" s="457">
        <f t="shared" si="46"/>
        <v>4224</v>
      </c>
      <c r="CY19" s="459"/>
      <c r="CZ19" s="467">
        <v>87</v>
      </c>
      <c r="DA19" s="457">
        <v>2052</v>
      </c>
      <c r="DB19" s="468">
        <f t="shared" si="17"/>
        <v>2.057471264367816</v>
      </c>
      <c r="DC19" s="296">
        <f t="shared" si="23"/>
        <v>2.057471264367816</v>
      </c>
      <c r="DD19" s="296">
        <f t="shared" si="24"/>
        <v>0</v>
      </c>
    </row>
    <row r="20" spans="1:108" ht="15">
      <c r="A20" s="297" t="s">
        <v>179</v>
      </c>
      <c r="B20" s="361">
        <v>1</v>
      </c>
      <c r="C20" s="480" t="s">
        <v>167</v>
      </c>
      <c r="D20" s="455">
        <v>3.029682702149437</v>
      </c>
      <c r="E20" s="456">
        <v>132117</v>
      </c>
      <c r="F20" s="457">
        <f t="shared" si="0"/>
        <v>132117</v>
      </c>
      <c r="G20" s="457">
        <f t="shared" si="1"/>
        <v>0</v>
      </c>
      <c r="H20" s="458">
        <f>86/192</f>
        <v>0.4479166666666667</v>
      </c>
      <c r="I20" s="484">
        <f>$B20*H20</f>
        <v>0.4479166666666667</v>
      </c>
      <c r="J20" s="484"/>
      <c r="K20" s="456">
        <v>23617</v>
      </c>
      <c r="L20" s="457">
        <f>$B20*K20</f>
        <v>23617</v>
      </c>
      <c r="M20" s="459"/>
      <c r="N20" s="456">
        <v>1713277</v>
      </c>
      <c r="O20" s="457">
        <f>$B20*N20</f>
        <v>1713277</v>
      </c>
      <c r="P20" s="457"/>
      <c r="Q20" s="470"/>
      <c r="R20" s="488"/>
      <c r="S20" s="488"/>
      <c r="T20" s="456">
        <v>8500</v>
      </c>
      <c r="U20" s="457">
        <f>$B20*T20</f>
        <v>8500</v>
      </c>
      <c r="V20" s="459"/>
      <c r="W20" s="456"/>
      <c r="X20" s="457">
        <f>$B20*W20</f>
        <v>0</v>
      </c>
      <c r="Y20" s="459"/>
      <c r="Z20" s="484"/>
      <c r="AA20" s="469">
        <v>14312</v>
      </c>
      <c r="AB20" s="457">
        <f>$B20*AA20</f>
        <v>14312</v>
      </c>
      <c r="AC20" s="457"/>
      <c r="AD20" s="461">
        <f>488/14312</f>
        <v>0.03409726103968697</v>
      </c>
      <c r="AE20" s="461">
        <f>$B20*AD20</f>
        <v>0.03409726103968697</v>
      </c>
      <c r="AF20" s="461"/>
      <c r="AG20" s="471"/>
      <c r="AH20" s="493"/>
      <c r="AI20" s="493"/>
      <c r="AJ20" s="456">
        <v>518</v>
      </c>
      <c r="AK20" s="457">
        <f>$B20*AJ20</f>
        <v>518</v>
      </c>
      <c r="AL20" s="457"/>
      <c r="AM20" s="456">
        <v>3422</v>
      </c>
      <c r="AN20" s="457">
        <f>$B20*AM20</f>
        <v>3422</v>
      </c>
      <c r="AO20" s="459"/>
      <c r="AP20" s="484">
        <f t="shared" si="7"/>
        <v>6.6061776061776065</v>
      </c>
      <c r="AQ20" s="457">
        <v>184362</v>
      </c>
      <c r="AR20" s="457">
        <f>$B20*AQ20</f>
        <v>184362</v>
      </c>
      <c r="AS20" s="457"/>
      <c r="AT20" s="471"/>
      <c r="AU20" s="493"/>
      <c r="AV20" s="493"/>
      <c r="AW20" s="469">
        <v>1971</v>
      </c>
      <c r="AX20" s="472">
        <f>$B20*AW20</f>
        <v>1971</v>
      </c>
      <c r="AY20" s="473"/>
      <c r="AZ20" s="469">
        <v>59</v>
      </c>
      <c r="BA20" s="474">
        <f t="shared" si="47"/>
        <v>59</v>
      </c>
      <c r="BB20" s="475"/>
      <c r="BC20" s="469">
        <v>20419</v>
      </c>
      <c r="BD20" s="474">
        <f t="shared" si="48"/>
        <v>20419</v>
      </c>
      <c r="BE20" s="475"/>
      <c r="BF20" s="488">
        <f t="shared" si="18"/>
        <v>10.359715880263826</v>
      </c>
      <c r="BG20" s="456">
        <v>32918</v>
      </c>
      <c r="BH20" s="457">
        <f>$B20*BG20</f>
        <v>32918</v>
      </c>
      <c r="BI20" s="459"/>
      <c r="BJ20" s="456">
        <v>21512</v>
      </c>
      <c r="BK20" s="457">
        <f>$B20*BJ20</f>
        <v>21512</v>
      </c>
      <c r="BL20" s="459"/>
      <c r="BM20" s="528">
        <v>4040</v>
      </c>
      <c r="BN20" s="457">
        <f>$B20*BM20</f>
        <v>4040</v>
      </c>
      <c r="BO20" s="457"/>
      <c r="BP20" s="469">
        <v>1557</v>
      </c>
      <c r="BQ20" s="532">
        <f t="shared" si="19"/>
        <v>1557</v>
      </c>
      <c r="BR20" s="532"/>
      <c r="BS20" s="474">
        <v>283</v>
      </c>
      <c r="BT20" s="474">
        <f>736+539</f>
        <v>1275</v>
      </c>
      <c r="BU20" s="566">
        <v>269</v>
      </c>
      <c r="BV20" s="474">
        <f>$B20*BU20</f>
        <v>269</v>
      </c>
      <c r="BW20" s="532"/>
      <c r="BX20" s="548">
        <f t="shared" si="34"/>
        <v>5.788104089219331</v>
      </c>
      <c r="BY20" s="469">
        <v>27362</v>
      </c>
      <c r="BZ20" s="457">
        <f t="shared" si="21"/>
        <v>27362</v>
      </c>
      <c r="CA20" s="457"/>
      <c r="CB20" s="474">
        <v>0.1</v>
      </c>
      <c r="CC20" s="474">
        <v>27362</v>
      </c>
      <c r="CD20" s="565">
        <v>15088</v>
      </c>
      <c r="CE20" s="457">
        <f>$B20*CD20</f>
        <v>15088</v>
      </c>
      <c r="CF20" s="459"/>
      <c r="CG20" s="458">
        <f>BY20/CD20</f>
        <v>1.813494167550371</v>
      </c>
      <c r="CH20" s="456">
        <v>190</v>
      </c>
      <c r="CI20" s="457">
        <f>$B20*CH20</f>
        <v>190</v>
      </c>
      <c r="CJ20" s="459"/>
      <c r="CK20" s="476">
        <v>300</v>
      </c>
      <c r="CL20" s="465">
        <f>$B20*CK20</f>
        <v>300</v>
      </c>
      <c r="CM20" s="466"/>
      <c r="CN20" s="456">
        <v>20</v>
      </c>
      <c r="CO20" s="457">
        <f>$B20*CN20</f>
        <v>20</v>
      </c>
      <c r="CP20" s="459"/>
      <c r="CQ20" s="456">
        <v>3266</v>
      </c>
      <c r="CR20" s="457">
        <f>$B20*CQ20</f>
        <v>3266</v>
      </c>
      <c r="CS20" s="459"/>
      <c r="CT20" s="456">
        <v>296</v>
      </c>
      <c r="CU20" s="457">
        <f>$B20*CT20</f>
        <v>296</v>
      </c>
      <c r="CV20" s="459"/>
      <c r="CW20" s="456">
        <v>3919</v>
      </c>
      <c r="CX20" s="457">
        <f t="shared" si="46"/>
        <v>3919</v>
      </c>
      <c r="CY20" s="459"/>
      <c r="CZ20" s="467">
        <v>97.7</v>
      </c>
      <c r="DA20" s="457">
        <v>1293</v>
      </c>
      <c r="DB20" s="468">
        <f t="shared" si="17"/>
        <v>3.029682702149437</v>
      </c>
      <c r="DC20" s="296">
        <f t="shared" si="23"/>
        <v>3.029682702149437</v>
      </c>
      <c r="DD20" s="296">
        <f t="shared" si="24"/>
        <v>0</v>
      </c>
    </row>
    <row r="21" spans="1:108" ht="15">
      <c r="A21" s="297" t="s">
        <v>180</v>
      </c>
      <c r="B21" s="361">
        <v>1</v>
      </c>
      <c r="C21" s="363">
        <v>1</v>
      </c>
      <c r="D21" s="378">
        <v>0.5246422893481717</v>
      </c>
      <c r="E21" s="379">
        <v>49881</v>
      </c>
      <c r="F21" s="380">
        <f t="shared" si="0"/>
        <v>49881</v>
      </c>
      <c r="G21" s="380">
        <f t="shared" si="1"/>
        <v>49881</v>
      </c>
      <c r="H21" s="383">
        <f>40/52</f>
        <v>0.7692307692307693</v>
      </c>
      <c r="I21" s="483">
        <f>$B21*H21</f>
        <v>0.7692307692307693</v>
      </c>
      <c r="J21" s="483">
        <f>$C21*H21</f>
        <v>0.7692307692307693</v>
      </c>
      <c r="K21" s="379">
        <v>4678</v>
      </c>
      <c r="L21" s="380">
        <f>$B21*K21</f>
        <v>4678</v>
      </c>
      <c r="M21" s="382">
        <f>$C21*K21</f>
        <v>4678</v>
      </c>
      <c r="N21" s="379">
        <v>344951</v>
      </c>
      <c r="O21" s="380">
        <f>$B21*N21</f>
        <v>344951</v>
      </c>
      <c r="P21" s="380">
        <f>$C21*N21</f>
        <v>344951</v>
      </c>
      <c r="Q21" s="383">
        <f>0.2/0.33</f>
        <v>0.6060606060606061</v>
      </c>
      <c r="R21" s="483">
        <f>$B21*Q21</f>
        <v>0.6060606060606061</v>
      </c>
      <c r="S21" s="483">
        <f>$C21*Q21</f>
        <v>0.6060606060606061</v>
      </c>
      <c r="T21" s="386"/>
      <c r="U21" s="380"/>
      <c r="V21" s="382"/>
      <c r="W21" s="386"/>
      <c r="X21" s="380"/>
      <c r="Y21" s="382"/>
      <c r="Z21" s="483"/>
      <c r="AA21" s="379">
        <v>1545</v>
      </c>
      <c r="AB21" s="380">
        <f>$B21*AA21</f>
        <v>1545</v>
      </c>
      <c r="AC21" s="380">
        <f>$C21*AA21</f>
        <v>1545</v>
      </c>
      <c r="AD21" s="400"/>
      <c r="AE21" s="400"/>
      <c r="AF21" s="400"/>
      <c r="AG21" s="401"/>
      <c r="AH21" s="492"/>
      <c r="AI21" s="492"/>
      <c r="AJ21" s="398">
        <v>30</v>
      </c>
      <c r="AK21" s="399">
        <f>$B21*AJ21</f>
        <v>30</v>
      </c>
      <c r="AL21" s="399">
        <f>$C21*AJ21</f>
        <v>30</v>
      </c>
      <c r="AM21" s="398">
        <v>61</v>
      </c>
      <c r="AN21" s="380">
        <f>$B21*AM21</f>
        <v>61</v>
      </c>
      <c r="AO21" s="382">
        <f>$C21*AM21</f>
        <v>61</v>
      </c>
      <c r="AP21" s="483">
        <f t="shared" si="7"/>
        <v>2.033333333333333</v>
      </c>
      <c r="AQ21" s="380">
        <v>36813</v>
      </c>
      <c r="AR21" s="380">
        <f>$B21*AQ21</f>
        <v>36813</v>
      </c>
      <c r="AS21" s="380">
        <f>$C21*AQ21</f>
        <v>36813</v>
      </c>
      <c r="AT21" s="385">
        <f>(1374+137)/28571</f>
        <v>0.0528857932868993</v>
      </c>
      <c r="AU21" s="490">
        <f>$B21*AT21</f>
        <v>0.0528857932868993</v>
      </c>
      <c r="AV21" s="490">
        <f>$C21*AT21</f>
        <v>0.0528857932868993</v>
      </c>
      <c r="AW21" s="386"/>
      <c r="AX21" s="387"/>
      <c r="AY21" s="388"/>
      <c r="AZ21" s="398">
        <v>40</v>
      </c>
      <c r="BA21" s="399">
        <f t="shared" si="47"/>
        <v>40</v>
      </c>
      <c r="BB21" s="406">
        <f>$C21*AZ21</f>
        <v>40</v>
      </c>
      <c r="BC21" s="398">
        <v>8000</v>
      </c>
      <c r="BD21" s="380">
        <f t="shared" si="48"/>
        <v>8000</v>
      </c>
      <c r="BE21" s="382">
        <f>$C21*BC21</f>
        <v>8000</v>
      </c>
      <c r="BF21" s="483"/>
      <c r="BG21" s="379"/>
      <c r="BH21" s="395"/>
      <c r="BI21" s="396"/>
      <c r="BJ21" s="379">
        <v>8837</v>
      </c>
      <c r="BK21" s="380">
        <f>$B21*BJ21</f>
        <v>8837</v>
      </c>
      <c r="BL21" s="382">
        <f>$C21*BJ21</f>
        <v>8837</v>
      </c>
      <c r="BM21" s="527">
        <v>6747</v>
      </c>
      <c r="BN21" s="380">
        <f>$B21*BM21</f>
        <v>6747</v>
      </c>
      <c r="BO21" s="380">
        <f>$C21*BM21</f>
        <v>6747</v>
      </c>
      <c r="BP21" s="398">
        <v>1040</v>
      </c>
      <c r="BQ21" s="399">
        <f t="shared" si="19"/>
        <v>1040</v>
      </c>
      <c r="BR21" s="399">
        <f t="shared" si="20"/>
        <v>1040</v>
      </c>
      <c r="BS21" s="404"/>
      <c r="BT21" s="404"/>
      <c r="BU21" s="567">
        <v>349</v>
      </c>
      <c r="BV21" s="399">
        <f>$B21*BU21</f>
        <v>349</v>
      </c>
      <c r="BW21" s="399">
        <f>$C21*BU21</f>
        <v>349</v>
      </c>
      <c r="BX21" s="550">
        <f t="shared" si="34"/>
        <v>2.979942693409742</v>
      </c>
      <c r="BY21" s="460">
        <v>1635</v>
      </c>
      <c r="BZ21" s="380">
        <f t="shared" si="21"/>
        <v>1635</v>
      </c>
      <c r="CA21" s="380">
        <f t="shared" si="22"/>
        <v>1635</v>
      </c>
      <c r="CB21" s="404"/>
      <c r="CC21" s="404"/>
      <c r="CD21" s="562">
        <v>270</v>
      </c>
      <c r="CE21" s="380">
        <f>$B21*CD21</f>
        <v>270</v>
      </c>
      <c r="CF21" s="382">
        <f>$C21*CD21</f>
        <v>270</v>
      </c>
      <c r="CG21" s="383"/>
      <c r="CH21" s="379">
        <v>11</v>
      </c>
      <c r="CI21" s="380">
        <f>$B21*CH21</f>
        <v>11</v>
      </c>
      <c r="CJ21" s="382">
        <f>$C21*CH21</f>
        <v>11</v>
      </c>
      <c r="CK21" s="379">
        <v>305</v>
      </c>
      <c r="CL21" s="389">
        <f>$B21*CK21</f>
        <v>305</v>
      </c>
      <c r="CM21" s="390">
        <f>$C21*CK21</f>
        <v>305</v>
      </c>
      <c r="CN21" s="379">
        <v>1</v>
      </c>
      <c r="CO21" s="380">
        <f>$B21*CN21</f>
        <v>1</v>
      </c>
      <c r="CP21" s="382">
        <f>$C21*CN21</f>
        <v>1</v>
      </c>
      <c r="CQ21" s="379">
        <v>962</v>
      </c>
      <c r="CR21" s="380">
        <f>$B21*CQ21</f>
        <v>962</v>
      </c>
      <c r="CS21" s="382">
        <f>$C21*CQ21</f>
        <v>962</v>
      </c>
      <c r="CT21" s="379">
        <v>33</v>
      </c>
      <c r="CU21" s="380">
        <f>$B21*CT21</f>
        <v>33</v>
      </c>
      <c r="CV21" s="382">
        <f aca="true" t="shared" si="49" ref="CV21:CV26">$C21*CT21</f>
        <v>33</v>
      </c>
      <c r="CW21" s="379">
        <v>1308</v>
      </c>
      <c r="CX21" s="380">
        <f t="shared" si="46"/>
        <v>1308</v>
      </c>
      <c r="CY21" s="382">
        <f t="shared" si="16"/>
        <v>1308</v>
      </c>
      <c r="CZ21" s="391">
        <v>62.9</v>
      </c>
      <c r="DA21" s="380">
        <v>2492</v>
      </c>
      <c r="DB21" s="392">
        <f t="shared" si="17"/>
        <v>0.5246422893481717</v>
      </c>
      <c r="DC21" s="296">
        <f t="shared" si="23"/>
        <v>0.5246422893481717</v>
      </c>
      <c r="DD21" s="296">
        <f t="shared" si="24"/>
        <v>0.5246422893481717</v>
      </c>
    </row>
    <row r="22" spans="1:108" ht="15">
      <c r="A22" s="297" t="s">
        <v>181</v>
      </c>
      <c r="B22" s="361">
        <v>1</v>
      </c>
      <c r="C22" s="299" t="s">
        <v>167</v>
      </c>
      <c r="D22" s="455">
        <v>0.4166666666666667</v>
      </c>
      <c r="E22" s="456">
        <v>15875</v>
      </c>
      <c r="F22" s="457">
        <f t="shared" si="0"/>
        <v>15875</v>
      </c>
      <c r="G22" s="457">
        <f t="shared" si="1"/>
        <v>0</v>
      </c>
      <c r="H22" s="458">
        <f>1840/9598</f>
        <v>0.19170660554282143</v>
      </c>
      <c r="I22" s="484">
        <f>$B22*H22</f>
        <v>0.19170660554282143</v>
      </c>
      <c r="J22" s="484"/>
      <c r="K22" s="456">
        <v>1487</v>
      </c>
      <c r="L22" s="457">
        <f>$B22*K22</f>
        <v>1487</v>
      </c>
      <c r="M22" s="459"/>
      <c r="N22" s="456">
        <v>247174</v>
      </c>
      <c r="O22" s="457">
        <f>$B22*N22</f>
        <v>247174</v>
      </c>
      <c r="P22" s="457"/>
      <c r="Q22" s="458">
        <f>0.07/0.23</f>
        <v>0.30434782608695654</v>
      </c>
      <c r="R22" s="484">
        <f>$B22*Q22</f>
        <v>0.30434782608695654</v>
      </c>
      <c r="S22" s="484">
        <f>$C22*Q22</f>
        <v>0</v>
      </c>
      <c r="T22" s="469"/>
      <c r="U22" s="457"/>
      <c r="V22" s="459"/>
      <c r="W22" s="469"/>
      <c r="X22" s="457"/>
      <c r="Y22" s="459"/>
      <c r="Z22" s="484"/>
      <c r="AA22" s="456">
        <v>1171</v>
      </c>
      <c r="AB22" s="457">
        <f>$B22*AA22</f>
        <v>1171</v>
      </c>
      <c r="AC22" s="457"/>
      <c r="AD22" s="477">
        <v>0.0001</v>
      </c>
      <c r="AE22" s="477">
        <f>$B22*AD22</f>
        <v>0.0001</v>
      </c>
      <c r="AF22" s="477">
        <f>$C22*AD22</f>
        <v>0</v>
      </c>
      <c r="AG22" s="471">
        <v>0.0001</v>
      </c>
      <c r="AH22" s="493">
        <f>$B22*AG22</f>
        <v>0.0001</v>
      </c>
      <c r="AI22" s="493"/>
      <c r="AJ22" s="469"/>
      <c r="AK22" s="457"/>
      <c r="AL22" s="457"/>
      <c r="AM22" s="469"/>
      <c r="AN22" s="457"/>
      <c r="AO22" s="459"/>
      <c r="AP22" s="484"/>
      <c r="AQ22" s="457">
        <v>42642</v>
      </c>
      <c r="AR22" s="457">
        <f>$B22*AQ22</f>
        <v>42642</v>
      </c>
      <c r="AS22" s="457"/>
      <c r="AT22" s="462">
        <f>(1715+65)/45971</f>
        <v>0.03872006264819125</v>
      </c>
      <c r="AU22" s="491">
        <f>$B22*AT22</f>
        <v>0.03872006264819125</v>
      </c>
      <c r="AV22" s="491">
        <f>$C22*AT22</f>
        <v>0</v>
      </c>
      <c r="AW22" s="469"/>
      <c r="AX22" s="463"/>
      <c r="AY22" s="464"/>
      <c r="AZ22" s="469"/>
      <c r="BA22" s="457"/>
      <c r="BB22" s="459"/>
      <c r="BC22" s="469"/>
      <c r="BD22" s="457"/>
      <c r="BE22" s="459"/>
      <c r="BF22" s="484"/>
      <c r="BG22" s="456"/>
      <c r="BH22" s="465"/>
      <c r="BI22" s="466"/>
      <c r="BJ22" s="456"/>
      <c r="BK22" s="465"/>
      <c r="BL22" s="466"/>
      <c r="BM22" s="528">
        <v>530</v>
      </c>
      <c r="BN22" s="457">
        <f>$B22*BM22</f>
        <v>530</v>
      </c>
      <c r="BO22" s="457"/>
      <c r="BP22" s="456"/>
      <c r="BQ22" s="457"/>
      <c r="BR22" s="457"/>
      <c r="BS22" s="474"/>
      <c r="BT22" s="474"/>
      <c r="BU22" s="565"/>
      <c r="BV22" s="465"/>
      <c r="BW22" s="465"/>
      <c r="BX22" s="551"/>
      <c r="BY22" s="476"/>
      <c r="BZ22" s="465"/>
      <c r="CA22" s="465"/>
      <c r="CB22" s="573"/>
      <c r="CC22" s="573"/>
      <c r="CD22" s="565"/>
      <c r="CE22" s="465"/>
      <c r="CF22" s="466"/>
      <c r="CG22" s="551"/>
      <c r="CH22" s="456"/>
      <c r="CI22" s="465"/>
      <c r="CJ22" s="466"/>
      <c r="CK22" s="456"/>
      <c r="CL22" s="465"/>
      <c r="CM22" s="466"/>
      <c r="CN22" s="456"/>
      <c r="CO22" s="465"/>
      <c r="CP22" s="466"/>
      <c r="CQ22" s="456">
        <v>1200</v>
      </c>
      <c r="CR22" s="457">
        <f>$B22*CQ22</f>
        <v>1200</v>
      </c>
      <c r="CS22" s="459"/>
      <c r="CT22" s="456">
        <v>17</v>
      </c>
      <c r="CU22" s="457">
        <f>$B22*CT22</f>
        <v>17</v>
      </c>
      <c r="CV22" s="459">
        <f t="shared" si="49"/>
        <v>0</v>
      </c>
      <c r="CW22" s="456">
        <v>1560</v>
      </c>
      <c r="CX22" s="457">
        <f t="shared" si="46"/>
        <v>1560</v>
      </c>
      <c r="CY22" s="459"/>
      <c r="CZ22" s="467">
        <v>40.8</v>
      </c>
      <c r="DA22" s="457">
        <v>3742</v>
      </c>
      <c r="DB22" s="468">
        <f t="shared" si="17"/>
        <v>0.4166666666666667</v>
      </c>
      <c r="DC22" s="296">
        <f t="shared" si="23"/>
        <v>0.4166666666666667</v>
      </c>
      <c r="DD22" s="296">
        <f t="shared" si="24"/>
        <v>0</v>
      </c>
    </row>
    <row r="23" spans="1:108" ht="15">
      <c r="A23" s="297" t="s">
        <v>182</v>
      </c>
      <c r="B23" s="361">
        <v>1</v>
      </c>
      <c r="C23" s="363">
        <v>1</v>
      </c>
      <c r="D23" s="378">
        <v>16.69191919191919</v>
      </c>
      <c r="E23" s="379">
        <v>555777</v>
      </c>
      <c r="F23" s="380">
        <f t="shared" si="0"/>
        <v>555777</v>
      </c>
      <c r="G23" s="380">
        <f t="shared" si="1"/>
        <v>555777</v>
      </c>
      <c r="H23" s="383">
        <f>126/500</f>
        <v>0.252</v>
      </c>
      <c r="I23" s="483">
        <f>$B23*H23</f>
        <v>0.252</v>
      </c>
      <c r="J23" s="483">
        <f>$C23*H23</f>
        <v>0.252</v>
      </c>
      <c r="K23" s="379">
        <v>104132</v>
      </c>
      <c r="L23" s="380">
        <f>$B23*K23</f>
        <v>104132</v>
      </c>
      <c r="M23" s="382">
        <f>$C23*K23</f>
        <v>104132</v>
      </c>
      <c r="N23" s="379">
        <v>7858712</v>
      </c>
      <c r="O23" s="380">
        <f>$B23*N23</f>
        <v>7858712</v>
      </c>
      <c r="P23" s="380">
        <f>$C23*N23</f>
        <v>7858712</v>
      </c>
      <c r="Q23" s="383">
        <f>1.3/7.5</f>
        <v>0.17333333333333334</v>
      </c>
      <c r="R23" s="483">
        <f>$B23*Q23</f>
        <v>0.17333333333333334</v>
      </c>
      <c r="S23" s="483">
        <f>$C23*Q23</f>
        <v>0.17333333333333334</v>
      </c>
      <c r="T23" s="398">
        <v>110000</v>
      </c>
      <c r="U23" s="380">
        <f>$B23*T23</f>
        <v>110000</v>
      </c>
      <c r="V23" s="382">
        <f>$C23*T23</f>
        <v>110000</v>
      </c>
      <c r="W23" s="398">
        <v>140000</v>
      </c>
      <c r="X23" s="380">
        <f>$B23*W23</f>
        <v>140000</v>
      </c>
      <c r="Y23" s="382">
        <f>$C23*W23</f>
        <v>140000</v>
      </c>
      <c r="Z23" s="483">
        <f t="shared" si="30"/>
        <v>1.2727272727272727</v>
      </c>
      <c r="AA23" s="379">
        <v>11332</v>
      </c>
      <c r="AB23" s="380">
        <f>$B23*AA23</f>
        <v>11332</v>
      </c>
      <c r="AC23" s="380">
        <f>$C23*AA23</f>
        <v>11332</v>
      </c>
      <c r="AD23" s="384">
        <f>47/11332</f>
        <v>0.004147546770208259</v>
      </c>
      <c r="AE23" s="384">
        <f>$B23*AD23</f>
        <v>0.004147546770208259</v>
      </c>
      <c r="AF23" s="384">
        <f>$C23*AD23</f>
        <v>0.004147546770208259</v>
      </c>
      <c r="AG23" s="385">
        <f>(30+228)/11332</f>
        <v>0.02276738439816449</v>
      </c>
      <c r="AH23" s="490">
        <f>$B23*AG23</f>
        <v>0.02276738439816449</v>
      </c>
      <c r="AI23" s="490">
        <f>$C23*AG23</f>
        <v>0.02276738439816449</v>
      </c>
      <c r="AJ23" s="398">
        <v>600</v>
      </c>
      <c r="AK23" s="380">
        <f>$B23*AJ23</f>
        <v>600</v>
      </c>
      <c r="AL23" s="380">
        <f>$C23*AJ23</f>
        <v>600</v>
      </c>
      <c r="AM23" s="398">
        <v>7500</v>
      </c>
      <c r="AN23" s="380">
        <f>$B23*AM23</f>
        <v>7500</v>
      </c>
      <c r="AO23" s="382">
        <f>$C23*AM23</f>
        <v>7500</v>
      </c>
      <c r="AP23" s="483">
        <f t="shared" si="7"/>
        <v>12.5</v>
      </c>
      <c r="AQ23" s="380">
        <v>2075382</v>
      </c>
      <c r="AR23" s="380">
        <f>$B23*AQ23</f>
        <v>2075382</v>
      </c>
      <c r="AS23" s="380">
        <f>$C23*AQ23</f>
        <v>2075382</v>
      </c>
      <c r="AT23" s="385">
        <f>(35780+17499)/951282</f>
        <v>0.05600757714326562</v>
      </c>
      <c r="AU23" s="490">
        <f>$B23*AT23</f>
        <v>0.05600757714326562</v>
      </c>
      <c r="AV23" s="490">
        <f>$C23*AT23</f>
        <v>0.05600757714326562</v>
      </c>
      <c r="AW23" s="386"/>
      <c r="AX23" s="387"/>
      <c r="AY23" s="388"/>
      <c r="AZ23" s="379">
        <v>682</v>
      </c>
      <c r="BA23" s="380">
        <f>$B23*AZ23</f>
        <v>682</v>
      </c>
      <c r="BB23" s="382">
        <f>$C23*AZ23</f>
        <v>682</v>
      </c>
      <c r="BC23" s="379">
        <v>80595</v>
      </c>
      <c r="BD23" s="380">
        <f>$B23*BC23</f>
        <v>80595</v>
      </c>
      <c r="BE23" s="382">
        <f>$C23*BC23</f>
        <v>80595</v>
      </c>
      <c r="BF23" s="483"/>
      <c r="BG23" s="379">
        <v>166700</v>
      </c>
      <c r="BH23" s="380">
        <f>$B23*BG23</f>
        <v>166700</v>
      </c>
      <c r="BI23" s="382">
        <f>$C23*BG23</f>
        <v>166700</v>
      </c>
      <c r="BJ23" s="379">
        <v>75747</v>
      </c>
      <c r="BK23" s="380">
        <f>$B23*BJ23</f>
        <v>75747</v>
      </c>
      <c r="BL23" s="382">
        <f>$C23*BJ23</f>
        <v>75747</v>
      </c>
      <c r="BM23" s="527">
        <v>32510</v>
      </c>
      <c r="BN23" s="380">
        <f>$B23*BM23</f>
        <v>32510</v>
      </c>
      <c r="BO23" s="380">
        <f>$C23*BM23</f>
        <v>32510</v>
      </c>
      <c r="BP23" s="379"/>
      <c r="BQ23" s="380"/>
      <c r="BR23" s="380"/>
      <c r="BS23" s="404"/>
      <c r="BT23" s="404"/>
      <c r="BU23" s="562">
        <v>16582</v>
      </c>
      <c r="BV23" s="380">
        <f>$B23*BU23</f>
        <v>16582</v>
      </c>
      <c r="BW23" s="380">
        <f>$C23*BU23</f>
        <v>16582</v>
      </c>
      <c r="BX23" s="383"/>
      <c r="BY23" s="398">
        <v>7521</v>
      </c>
      <c r="BZ23" s="380"/>
      <c r="CA23" s="380"/>
      <c r="CB23" s="404"/>
      <c r="CC23" s="404"/>
      <c r="CD23" s="562">
        <v>6378</v>
      </c>
      <c r="CE23" s="380">
        <f>$B23*CD23</f>
        <v>6378</v>
      </c>
      <c r="CF23" s="382">
        <f>$C23*CD23</f>
        <v>6378</v>
      </c>
      <c r="CG23" s="383"/>
      <c r="CH23" s="379">
        <v>100</v>
      </c>
      <c r="CI23" s="380">
        <f>$B23*CH23</f>
        <v>100</v>
      </c>
      <c r="CJ23" s="382">
        <f>$C23*CH23</f>
        <v>100</v>
      </c>
      <c r="CK23" s="379">
        <v>46314</v>
      </c>
      <c r="CL23" s="389">
        <f>$B23*CK23</f>
        <v>46314</v>
      </c>
      <c r="CM23" s="390">
        <f>$C23*CK23</f>
        <v>46314</v>
      </c>
      <c r="CN23" s="379">
        <v>480</v>
      </c>
      <c r="CO23" s="380">
        <f>$B23*CN23</f>
        <v>480</v>
      </c>
      <c r="CP23" s="382">
        <f>$C23*CN23</f>
        <v>480</v>
      </c>
      <c r="CQ23" s="379"/>
      <c r="CR23" s="395"/>
      <c r="CS23" s="396"/>
      <c r="CT23" s="379">
        <v>661</v>
      </c>
      <c r="CU23" s="380">
        <f>$B23*CT23</f>
        <v>661</v>
      </c>
      <c r="CV23" s="382">
        <f t="shared" si="49"/>
        <v>661</v>
      </c>
      <c r="CW23" s="379"/>
      <c r="CX23" s="395"/>
      <c r="CY23" s="396"/>
      <c r="CZ23" s="391">
        <v>39.6</v>
      </c>
      <c r="DA23" s="380"/>
      <c r="DB23" s="392">
        <f t="shared" si="17"/>
        <v>16.69191919191919</v>
      </c>
      <c r="DC23" s="296">
        <f t="shared" si="23"/>
        <v>16.69191919191919</v>
      </c>
      <c r="DD23" s="296">
        <f t="shared" si="24"/>
        <v>16.69191919191919</v>
      </c>
    </row>
    <row r="24" spans="1:108" ht="15">
      <c r="A24" s="297" t="s">
        <v>183</v>
      </c>
      <c r="B24" s="298" t="s">
        <v>167</v>
      </c>
      <c r="C24" s="363">
        <v>1</v>
      </c>
      <c r="D24" s="434">
        <v>4.955752212389381</v>
      </c>
      <c r="E24" s="435">
        <v>168552</v>
      </c>
      <c r="F24" s="436">
        <f t="shared" si="0"/>
        <v>0</v>
      </c>
      <c r="G24" s="436">
        <f t="shared" si="1"/>
        <v>168552</v>
      </c>
      <c r="H24" s="437">
        <f>100/138</f>
        <v>0.7246376811594203</v>
      </c>
      <c r="I24" s="485"/>
      <c r="J24" s="485">
        <f>$C24*H24</f>
        <v>0.7246376811594203</v>
      </c>
      <c r="K24" s="435">
        <v>77218</v>
      </c>
      <c r="L24" s="436"/>
      <c r="M24" s="438">
        <f>$C24*K24</f>
        <v>77218</v>
      </c>
      <c r="N24" s="435">
        <v>2376426</v>
      </c>
      <c r="O24" s="436"/>
      <c r="P24" s="436">
        <f>$C24*N24</f>
        <v>2376426</v>
      </c>
      <c r="Q24" s="437">
        <f>0.6/2.1</f>
        <v>0.2857142857142857</v>
      </c>
      <c r="R24" s="485">
        <f>$B24*Q24</f>
        <v>0</v>
      </c>
      <c r="S24" s="485">
        <f>$C24*Q24</f>
        <v>0.2857142857142857</v>
      </c>
      <c r="T24" s="439"/>
      <c r="U24" s="436"/>
      <c r="V24" s="438"/>
      <c r="W24" s="435">
        <v>59000</v>
      </c>
      <c r="X24" s="436"/>
      <c r="Y24" s="438">
        <f>$C24*W24</f>
        <v>59000</v>
      </c>
      <c r="Z24" s="485"/>
      <c r="AA24" s="435">
        <v>23324</v>
      </c>
      <c r="AB24" s="436"/>
      <c r="AC24" s="436">
        <f>$C24*AA24</f>
        <v>23324</v>
      </c>
      <c r="AD24" s="440">
        <v>0.0001</v>
      </c>
      <c r="AE24" s="440"/>
      <c r="AF24" s="440">
        <f>$C24*AD24</f>
        <v>0.0001</v>
      </c>
      <c r="AG24" s="441">
        <f>(1344+176)/23324</f>
        <v>0.06516892471274224</v>
      </c>
      <c r="AH24" s="494"/>
      <c r="AI24" s="494">
        <f>$C24*AG24</f>
        <v>0.06516892471274224</v>
      </c>
      <c r="AJ24" s="439"/>
      <c r="AK24" s="436"/>
      <c r="AL24" s="436"/>
      <c r="AM24" s="435">
        <v>4360</v>
      </c>
      <c r="AN24" s="436"/>
      <c r="AO24" s="438">
        <f>$C24*AM24</f>
        <v>4360</v>
      </c>
      <c r="AP24" s="485"/>
      <c r="AQ24" s="436">
        <v>1450090</v>
      </c>
      <c r="AR24" s="436"/>
      <c r="AS24" s="436">
        <f>$C24*AQ24</f>
        <v>1450090</v>
      </c>
      <c r="AT24" s="441">
        <f>(83437+197)/514991</f>
        <v>0.16239895454483672</v>
      </c>
      <c r="AU24" s="494"/>
      <c r="AV24" s="494">
        <f>$C24*AT24</f>
        <v>0.16239895454483672</v>
      </c>
      <c r="AW24" s="439"/>
      <c r="AX24" s="442"/>
      <c r="AY24" s="443"/>
      <c r="AZ24" s="435">
        <v>289</v>
      </c>
      <c r="BA24" s="436"/>
      <c r="BB24" s="438">
        <f>$C24*AZ24</f>
        <v>289</v>
      </c>
      <c r="BC24" s="435">
        <v>20700</v>
      </c>
      <c r="BD24" s="436"/>
      <c r="BE24" s="438">
        <f>$C24*BC24</f>
        <v>20700</v>
      </c>
      <c r="BF24" s="485"/>
      <c r="BG24" s="435">
        <v>66055</v>
      </c>
      <c r="BH24" s="436"/>
      <c r="BI24" s="438">
        <f>$C24*BG24</f>
        <v>66055</v>
      </c>
      <c r="BJ24" s="435">
        <v>16965</v>
      </c>
      <c r="BK24" s="436"/>
      <c r="BL24" s="438">
        <f>$C24*BJ24</f>
        <v>16965</v>
      </c>
      <c r="BM24" s="529">
        <v>10370</v>
      </c>
      <c r="BN24" s="436"/>
      <c r="BO24" s="436">
        <f>$C24*BM24</f>
        <v>10370</v>
      </c>
      <c r="BP24" s="557">
        <v>7267</v>
      </c>
      <c r="BQ24" s="533"/>
      <c r="BR24" s="533">
        <f t="shared" si="20"/>
        <v>7267</v>
      </c>
      <c r="BS24" s="533">
        <f>2882+2259</f>
        <v>5141</v>
      </c>
      <c r="BT24" s="533">
        <f>1826+300</f>
        <v>2126</v>
      </c>
      <c r="BU24" s="568">
        <v>3076</v>
      </c>
      <c r="BV24" s="436"/>
      <c r="BW24" s="436">
        <f>$C24*BU24</f>
        <v>3076</v>
      </c>
      <c r="BX24" s="437">
        <f>BP24/BU24</f>
        <v>2.362483745123537</v>
      </c>
      <c r="BY24" s="557">
        <v>6209</v>
      </c>
      <c r="BZ24" s="436"/>
      <c r="CA24" s="436">
        <f t="shared" si="22"/>
        <v>6209</v>
      </c>
      <c r="CB24" s="533">
        <v>4535</v>
      </c>
      <c r="CC24" s="533">
        <v>1674</v>
      </c>
      <c r="CD24" s="568">
        <v>3574</v>
      </c>
      <c r="CE24" s="436"/>
      <c r="CF24" s="438">
        <f>$C24*CD24</f>
        <v>3574</v>
      </c>
      <c r="CG24" s="437">
        <f aca="true" t="shared" si="50" ref="CG24:CG31">BY24/CD24</f>
        <v>1.7372691662003357</v>
      </c>
      <c r="CH24" s="435">
        <v>40</v>
      </c>
      <c r="CI24" s="436"/>
      <c r="CJ24" s="438">
        <f>$C24*CH24</f>
        <v>40</v>
      </c>
      <c r="CK24" s="435"/>
      <c r="CL24" s="444"/>
      <c r="CM24" s="445"/>
      <c r="CN24" s="435"/>
      <c r="CO24" s="444"/>
      <c r="CP24" s="445"/>
      <c r="CQ24" s="435">
        <v>6079</v>
      </c>
      <c r="CR24" s="436"/>
      <c r="CS24" s="438">
        <f>$C24*CQ24</f>
        <v>6079</v>
      </c>
      <c r="CT24" s="435">
        <v>168</v>
      </c>
      <c r="CU24" s="436"/>
      <c r="CV24" s="438">
        <f t="shared" si="49"/>
        <v>168</v>
      </c>
      <c r="CW24" s="435">
        <v>8363</v>
      </c>
      <c r="CX24" s="436"/>
      <c r="CY24" s="438">
        <f t="shared" si="16"/>
        <v>8363</v>
      </c>
      <c r="CZ24" s="446">
        <v>33.9</v>
      </c>
      <c r="DA24" s="436">
        <v>1688</v>
      </c>
      <c r="DB24" s="447">
        <f t="shared" si="17"/>
        <v>4.955752212389381</v>
      </c>
      <c r="DC24" s="296">
        <f t="shared" si="23"/>
        <v>0</v>
      </c>
      <c r="DD24" s="296">
        <f t="shared" si="24"/>
        <v>4.955752212389381</v>
      </c>
    </row>
    <row r="25" spans="1:108" ht="15">
      <c r="A25" s="297" t="s">
        <v>184</v>
      </c>
      <c r="B25" s="361">
        <v>1</v>
      </c>
      <c r="C25" s="363">
        <v>1</v>
      </c>
      <c r="D25" s="378">
        <v>38.537258509659615</v>
      </c>
      <c r="E25" s="379">
        <v>928457</v>
      </c>
      <c r="F25" s="380">
        <f t="shared" si="0"/>
        <v>928457</v>
      </c>
      <c r="G25" s="380">
        <f t="shared" si="1"/>
        <v>928457</v>
      </c>
      <c r="H25" s="383">
        <f>649/1280</f>
        <v>0.50703125</v>
      </c>
      <c r="I25" s="483">
        <f>$B25*H25</f>
        <v>0.50703125</v>
      </c>
      <c r="J25" s="483">
        <f>$C25*H25</f>
        <v>0.50703125</v>
      </c>
      <c r="K25" s="379">
        <v>178492</v>
      </c>
      <c r="L25" s="380">
        <f aca="true" t="shared" si="51" ref="L25:L31">$B25*K25</f>
        <v>178492</v>
      </c>
      <c r="M25" s="382">
        <f>$C25*K25</f>
        <v>178492</v>
      </c>
      <c r="N25" s="379">
        <v>18125490</v>
      </c>
      <c r="O25" s="380">
        <f aca="true" t="shared" si="52" ref="O25:O31">$B25*N25</f>
        <v>18125490</v>
      </c>
      <c r="P25" s="380">
        <f>$C25*N25</f>
        <v>18125490</v>
      </c>
      <c r="Q25" s="383">
        <f>2.9/12.3</f>
        <v>0.23577235772357721</v>
      </c>
      <c r="R25" s="483">
        <f>$B25*Q25</f>
        <v>0.23577235772357721</v>
      </c>
      <c r="S25" s="483">
        <f>$C25*Q25</f>
        <v>0.23577235772357721</v>
      </c>
      <c r="T25" s="379">
        <v>146000</v>
      </c>
      <c r="U25" s="380">
        <f>$B25*T25</f>
        <v>146000</v>
      </c>
      <c r="V25" s="382">
        <f>$C25*T25</f>
        <v>146000</v>
      </c>
      <c r="W25" s="379">
        <v>275000</v>
      </c>
      <c r="X25" s="380">
        <f>$B25*W25</f>
        <v>275000</v>
      </c>
      <c r="Y25" s="382">
        <f>$C25*W25</f>
        <v>275000</v>
      </c>
      <c r="Z25" s="483">
        <f t="shared" si="30"/>
        <v>1.8835616438356164</v>
      </c>
      <c r="AA25" s="379">
        <v>80175</v>
      </c>
      <c r="AB25" s="380">
        <f aca="true" t="shared" si="53" ref="AB25:AB31">$B25*AA25</f>
        <v>80175</v>
      </c>
      <c r="AC25" s="380">
        <f>$C25*AA25</f>
        <v>80175</v>
      </c>
      <c r="AD25" s="384">
        <f>391/92792</f>
        <v>0.004213725321148375</v>
      </c>
      <c r="AE25" s="384">
        <f>$B25*AD25</f>
        <v>0.004213725321148375</v>
      </c>
      <c r="AF25" s="384">
        <f>$C25*AD25</f>
        <v>0.004213725321148375</v>
      </c>
      <c r="AG25" s="385">
        <f>(4687+4450)/92792</f>
        <v>0.09846754030519872</v>
      </c>
      <c r="AH25" s="490">
        <f>$B25*AG25</f>
        <v>0.09846754030519872</v>
      </c>
      <c r="AI25" s="490">
        <f>$C25*AG25</f>
        <v>0.09846754030519872</v>
      </c>
      <c r="AJ25" s="379">
        <v>2803</v>
      </c>
      <c r="AK25" s="380">
        <f>$B25*AJ25</f>
        <v>2803</v>
      </c>
      <c r="AL25" s="380">
        <f>$C25*AJ25</f>
        <v>2803</v>
      </c>
      <c r="AM25" s="379">
        <v>26791</v>
      </c>
      <c r="AN25" s="380">
        <f>$B25*AM25</f>
        <v>26791</v>
      </c>
      <c r="AO25" s="382">
        <f>$C25*AM25</f>
        <v>26791</v>
      </c>
      <c r="AP25" s="483">
        <f t="shared" si="7"/>
        <v>9.557973599714591</v>
      </c>
      <c r="AQ25" s="380">
        <v>3947803</v>
      </c>
      <c r="AR25" s="380">
        <f aca="true" t="shared" si="54" ref="AR25:AR31">$B25*AQ25</f>
        <v>3947803</v>
      </c>
      <c r="AS25" s="380">
        <f>$C25*AQ25</f>
        <v>3947803</v>
      </c>
      <c r="AT25" s="385">
        <f>(753430+263860)/2511677</f>
        <v>0.405024212906357</v>
      </c>
      <c r="AU25" s="490">
        <f>$B25*AT25</f>
        <v>0.405024212906357</v>
      </c>
      <c r="AV25" s="490">
        <f>$C25*AT25</f>
        <v>0.405024212906357</v>
      </c>
      <c r="AW25" s="379">
        <v>29743</v>
      </c>
      <c r="AX25" s="387">
        <f>$B25*AW25</f>
        <v>29743</v>
      </c>
      <c r="AY25" s="388">
        <f>$C25*AW25</f>
        <v>29743</v>
      </c>
      <c r="AZ25" s="379">
        <v>1093</v>
      </c>
      <c r="BA25" s="380">
        <f aca="true" t="shared" si="55" ref="BA25:BA31">$B25*AZ25</f>
        <v>1093</v>
      </c>
      <c r="BB25" s="382">
        <f>$C25*AZ25</f>
        <v>1093</v>
      </c>
      <c r="BC25" s="379">
        <v>164930</v>
      </c>
      <c r="BD25" s="380">
        <f aca="true" t="shared" si="56" ref="BD25:BD31">$B25*BC25</f>
        <v>164930</v>
      </c>
      <c r="BE25" s="382">
        <f>$C25*BC25</f>
        <v>164930</v>
      </c>
      <c r="BF25" s="483">
        <f t="shared" si="18"/>
        <v>5.545170292169586</v>
      </c>
      <c r="BG25" s="379">
        <v>218485</v>
      </c>
      <c r="BH25" s="380">
        <f>$B25*BG25</f>
        <v>218485</v>
      </c>
      <c r="BI25" s="382">
        <f>$C25*BG25</f>
        <v>218485</v>
      </c>
      <c r="BJ25" s="379">
        <v>218888</v>
      </c>
      <c r="BK25" s="380">
        <f aca="true" t="shared" si="57" ref="BK25:BK31">$B25*BJ25</f>
        <v>218888</v>
      </c>
      <c r="BL25" s="382">
        <f>$C25*BJ25</f>
        <v>218888</v>
      </c>
      <c r="BM25" s="527">
        <v>45750</v>
      </c>
      <c r="BN25" s="380">
        <f aca="true" t="shared" si="58" ref="BN25:BN31">$B25*BM25</f>
        <v>45750</v>
      </c>
      <c r="BO25" s="380">
        <f>$C25*BM25</f>
        <v>45750</v>
      </c>
      <c r="BP25" s="379">
        <v>32835</v>
      </c>
      <c r="BQ25" s="380">
        <f t="shared" si="19"/>
        <v>32835</v>
      </c>
      <c r="BR25" s="380">
        <f t="shared" si="20"/>
        <v>32835</v>
      </c>
      <c r="BS25" s="404">
        <f>18376+12231</f>
        <v>30607</v>
      </c>
      <c r="BT25" s="404">
        <f>926+763</f>
        <v>1689</v>
      </c>
      <c r="BU25" s="562">
        <v>18177</v>
      </c>
      <c r="BV25" s="380">
        <f aca="true" t="shared" si="59" ref="BV25:BV31">$B25*BU25</f>
        <v>18177</v>
      </c>
      <c r="BW25" s="380">
        <f>$C25*BU25</f>
        <v>18177</v>
      </c>
      <c r="BX25" s="383">
        <f>BP25/BU25</f>
        <v>1.8064036969796997</v>
      </c>
      <c r="BY25" s="379">
        <v>104363</v>
      </c>
      <c r="BZ25" s="380">
        <f t="shared" si="21"/>
        <v>104363</v>
      </c>
      <c r="CA25" s="380">
        <f t="shared" si="22"/>
        <v>104363</v>
      </c>
      <c r="CB25" s="404">
        <v>83955</v>
      </c>
      <c r="CC25" s="404">
        <v>20408</v>
      </c>
      <c r="CD25" s="562">
        <v>53746</v>
      </c>
      <c r="CE25" s="380">
        <f aca="true" t="shared" si="60" ref="CE25:CE31">$B25*CD25</f>
        <v>53746</v>
      </c>
      <c r="CF25" s="382">
        <f>$C25*CD25</f>
        <v>53746</v>
      </c>
      <c r="CG25" s="383">
        <f t="shared" si="50"/>
        <v>1.9417817139880178</v>
      </c>
      <c r="CH25" s="379">
        <v>350</v>
      </c>
      <c r="CI25" s="380">
        <f>$B25*CH25</f>
        <v>350</v>
      </c>
      <c r="CJ25" s="382">
        <f>$C25*CH25</f>
        <v>350</v>
      </c>
      <c r="CK25" s="379">
        <v>88</v>
      </c>
      <c r="CL25" s="389">
        <f>$B25*CK25</f>
        <v>88</v>
      </c>
      <c r="CM25" s="390">
        <f>$C25*CK25</f>
        <v>88</v>
      </c>
      <c r="CN25" s="379"/>
      <c r="CO25" s="395"/>
      <c r="CP25" s="396"/>
      <c r="CQ25" s="379">
        <v>40065</v>
      </c>
      <c r="CR25" s="380">
        <f aca="true" t="shared" si="61" ref="CR25:CR31">$B25*CQ25</f>
        <v>40065</v>
      </c>
      <c r="CS25" s="382">
        <f>$C25*CQ25</f>
        <v>40065</v>
      </c>
      <c r="CT25" s="379">
        <v>4189</v>
      </c>
      <c r="CU25" s="380">
        <f aca="true" t="shared" si="62" ref="CU25:CU31">$B25*CT25</f>
        <v>4189</v>
      </c>
      <c r="CV25" s="382">
        <f t="shared" si="49"/>
        <v>4189</v>
      </c>
      <c r="CW25" s="379">
        <v>49501</v>
      </c>
      <c r="CX25" s="380">
        <f aca="true" t="shared" si="63" ref="CX25:CX31">$B25*CW25</f>
        <v>49501</v>
      </c>
      <c r="CY25" s="382">
        <f t="shared" si="16"/>
        <v>49501</v>
      </c>
      <c r="CZ25" s="391">
        <v>108.7</v>
      </c>
      <c r="DA25" s="380">
        <v>1285</v>
      </c>
      <c r="DB25" s="392">
        <f t="shared" si="17"/>
        <v>38.537258509659615</v>
      </c>
      <c r="DC25" s="296">
        <f t="shared" si="23"/>
        <v>38.537258509659615</v>
      </c>
      <c r="DD25" s="296">
        <f t="shared" si="24"/>
        <v>38.537258509659615</v>
      </c>
    </row>
    <row r="26" spans="1:108" ht="15">
      <c r="A26" s="314" t="s">
        <v>202</v>
      </c>
      <c r="B26" s="361">
        <v>1</v>
      </c>
      <c r="C26" s="363">
        <v>1</v>
      </c>
      <c r="D26" s="378">
        <v>10.556872037914692</v>
      </c>
      <c r="E26" s="379">
        <v>177376</v>
      </c>
      <c r="F26" s="380">
        <f t="shared" si="0"/>
        <v>177376</v>
      </c>
      <c r="G26" s="380">
        <f t="shared" si="1"/>
        <v>177376</v>
      </c>
      <c r="H26" s="381"/>
      <c r="I26" s="482"/>
      <c r="J26" s="482"/>
      <c r="K26" s="379">
        <v>45491</v>
      </c>
      <c r="L26" s="380">
        <f t="shared" si="51"/>
        <v>45491</v>
      </c>
      <c r="M26" s="382">
        <f>$C26*K26</f>
        <v>45491</v>
      </c>
      <c r="N26" s="379">
        <v>4712354</v>
      </c>
      <c r="O26" s="380">
        <f t="shared" si="52"/>
        <v>4712354</v>
      </c>
      <c r="P26" s="380">
        <f>$C26*N26</f>
        <v>4712354</v>
      </c>
      <c r="Q26" s="381"/>
      <c r="R26" s="482"/>
      <c r="S26" s="482"/>
      <c r="T26" s="386"/>
      <c r="U26" s="380"/>
      <c r="V26" s="382"/>
      <c r="W26" s="386"/>
      <c r="X26" s="380"/>
      <c r="Y26" s="382"/>
      <c r="Z26" s="483"/>
      <c r="AA26" s="398">
        <v>20000</v>
      </c>
      <c r="AB26" s="380">
        <f t="shared" si="53"/>
        <v>20000</v>
      </c>
      <c r="AC26" s="380">
        <f>$C26*AA26</f>
        <v>20000</v>
      </c>
      <c r="AD26" s="400"/>
      <c r="AE26" s="400"/>
      <c r="AF26" s="400"/>
      <c r="AG26" s="401"/>
      <c r="AH26" s="492"/>
      <c r="AI26" s="492"/>
      <c r="AJ26" s="386"/>
      <c r="AK26" s="380"/>
      <c r="AL26" s="380"/>
      <c r="AM26" s="386"/>
      <c r="AN26" s="380"/>
      <c r="AO26" s="382"/>
      <c r="AP26" s="483"/>
      <c r="AQ26" s="380">
        <v>1423551</v>
      </c>
      <c r="AR26" s="380">
        <f t="shared" si="54"/>
        <v>1423551</v>
      </c>
      <c r="AS26" s="380">
        <f>$C26*AQ26</f>
        <v>1423551</v>
      </c>
      <c r="AT26" s="401"/>
      <c r="AU26" s="492"/>
      <c r="AV26" s="492"/>
      <c r="AW26" s="386"/>
      <c r="AX26" s="402"/>
      <c r="AY26" s="403"/>
      <c r="AZ26" s="386">
        <v>291</v>
      </c>
      <c r="BA26" s="404">
        <f t="shared" si="55"/>
        <v>291</v>
      </c>
      <c r="BB26" s="405">
        <f>$C26*AZ26</f>
        <v>291</v>
      </c>
      <c r="BC26" s="386">
        <v>38950</v>
      </c>
      <c r="BD26" s="404">
        <f t="shared" si="56"/>
        <v>38950</v>
      </c>
      <c r="BE26" s="405">
        <f>$C26*BC26</f>
        <v>38950</v>
      </c>
      <c r="BF26" s="482"/>
      <c r="BG26" s="379"/>
      <c r="BH26" s="395"/>
      <c r="BI26" s="396"/>
      <c r="BJ26" s="379">
        <v>37472</v>
      </c>
      <c r="BK26" s="380">
        <f t="shared" si="57"/>
        <v>37472</v>
      </c>
      <c r="BL26" s="382">
        <f>$C26*BJ26</f>
        <v>37472</v>
      </c>
      <c r="BM26" s="527">
        <v>17440</v>
      </c>
      <c r="BN26" s="380">
        <f t="shared" si="58"/>
        <v>17440</v>
      </c>
      <c r="BO26" s="380">
        <f>$C26*BM26</f>
        <v>17440</v>
      </c>
      <c r="BP26" s="398">
        <v>6857</v>
      </c>
      <c r="BQ26" s="399">
        <f t="shared" si="19"/>
        <v>6857</v>
      </c>
      <c r="BR26" s="399">
        <f t="shared" si="20"/>
        <v>6857</v>
      </c>
      <c r="BS26" s="404"/>
      <c r="BT26" s="404"/>
      <c r="BU26" s="567">
        <v>4143</v>
      </c>
      <c r="BV26" s="399">
        <f t="shared" si="59"/>
        <v>4143</v>
      </c>
      <c r="BW26" s="399">
        <f>$C26*BU26</f>
        <v>4143</v>
      </c>
      <c r="BX26" s="550">
        <f>BP26/BU26</f>
        <v>1.6550808592807145</v>
      </c>
      <c r="BY26" s="398">
        <v>4386</v>
      </c>
      <c r="BZ26" s="380">
        <f t="shared" si="21"/>
        <v>4386</v>
      </c>
      <c r="CA26" s="380">
        <f t="shared" si="22"/>
        <v>4386</v>
      </c>
      <c r="CB26" s="404"/>
      <c r="CC26" s="404"/>
      <c r="CD26" s="562">
        <v>2322</v>
      </c>
      <c r="CE26" s="380">
        <f t="shared" si="60"/>
        <v>2322</v>
      </c>
      <c r="CF26" s="382">
        <f>$C26*CD26</f>
        <v>2322</v>
      </c>
      <c r="CG26" s="383">
        <f t="shared" si="50"/>
        <v>1.8888888888888888</v>
      </c>
      <c r="CH26" s="379">
        <v>50</v>
      </c>
      <c r="CI26" s="380">
        <f>$B26*CH26</f>
        <v>50</v>
      </c>
      <c r="CJ26" s="382">
        <f>$C26*CH26</f>
        <v>50</v>
      </c>
      <c r="CK26" s="379"/>
      <c r="CL26" s="395"/>
      <c r="CM26" s="396"/>
      <c r="CN26" s="379"/>
      <c r="CO26" s="395"/>
      <c r="CP26" s="396"/>
      <c r="CQ26" s="379">
        <v>32541</v>
      </c>
      <c r="CR26" s="380">
        <f t="shared" si="61"/>
        <v>32541</v>
      </c>
      <c r="CS26" s="382">
        <f>$C26*CQ26</f>
        <v>32541</v>
      </c>
      <c r="CT26" s="379">
        <v>891</v>
      </c>
      <c r="CU26" s="380">
        <f t="shared" si="62"/>
        <v>891</v>
      </c>
      <c r="CV26" s="382">
        <f t="shared" si="49"/>
        <v>891</v>
      </c>
      <c r="CW26" s="379">
        <v>41960</v>
      </c>
      <c r="CX26" s="380">
        <f t="shared" si="63"/>
        <v>41960</v>
      </c>
      <c r="CY26" s="382">
        <f t="shared" si="16"/>
        <v>41960</v>
      </c>
      <c r="CZ26" s="391">
        <v>84.4</v>
      </c>
      <c r="DA26" s="380">
        <v>3975</v>
      </c>
      <c r="DB26" s="392">
        <f t="shared" si="17"/>
        <v>10.556872037914692</v>
      </c>
      <c r="DC26" s="296">
        <f t="shared" si="23"/>
        <v>10.556872037914692</v>
      </c>
      <c r="DD26" s="296">
        <f t="shared" si="24"/>
        <v>10.556872037914692</v>
      </c>
    </row>
    <row r="27" spans="1:108" ht="12.75">
      <c r="A27" s="297" t="s">
        <v>185</v>
      </c>
      <c r="B27" s="361">
        <v>1</v>
      </c>
      <c r="C27" s="299" t="s">
        <v>167</v>
      </c>
      <c r="D27" s="455">
        <v>21.377118644067796</v>
      </c>
      <c r="E27" s="456">
        <v>176555</v>
      </c>
      <c r="F27" s="457">
        <f t="shared" si="0"/>
        <v>176555</v>
      </c>
      <c r="G27" s="457">
        <f t="shared" si="1"/>
        <v>0</v>
      </c>
      <c r="H27" s="458">
        <f>255/586</f>
        <v>0.4351535836177474</v>
      </c>
      <c r="I27" s="484">
        <f>$B27*H27</f>
        <v>0.4351535836177474</v>
      </c>
      <c r="J27" s="484"/>
      <c r="K27" s="456">
        <v>65954</v>
      </c>
      <c r="L27" s="457">
        <f t="shared" si="51"/>
        <v>65954</v>
      </c>
      <c r="M27" s="459"/>
      <c r="N27" s="456">
        <v>4334547</v>
      </c>
      <c r="O27" s="457">
        <f t="shared" si="52"/>
        <v>4334547</v>
      </c>
      <c r="P27" s="457"/>
      <c r="Q27" s="458">
        <f>1.13/4.03</f>
        <v>0.2803970223325062</v>
      </c>
      <c r="R27" s="484">
        <f>$B27*Q27</f>
        <v>0.2803970223325062</v>
      </c>
      <c r="S27" s="484">
        <f>$C27*Q27</f>
        <v>0</v>
      </c>
      <c r="T27" s="469"/>
      <c r="U27" s="457"/>
      <c r="V27" s="459"/>
      <c r="W27" s="469"/>
      <c r="X27" s="457"/>
      <c r="Y27" s="459"/>
      <c r="Z27" s="484"/>
      <c r="AA27" s="456">
        <v>41514</v>
      </c>
      <c r="AB27" s="457">
        <f t="shared" si="53"/>
        <v>41514</v>
      </c>
      <c r="AC27" s="457"/>
      <c r="AD27" s="477">
        <v>0.0001</v>
      </c>
      <c r="AE27" s="477">
        <f>$B27*AD27</f>
        <v>0.0001</v>
      </c>
      <c r="AF27" s="477">
        <f>$C27*AD27</f>
        <v>0</v>
      </c>
      <c r="AG27" s="462">
        <f>(169)/41514</f>
        <v>0.004070915835621718</v>
      </c>
      <c r="AH27" s="491">
        <f>$B27*AG27</f>
        <v>0.004070915835621718</v>
      </c>
      <c r="AI27" s="491">
        <f>$C27*AG27</f>
        <v>0</v>
      </c>
      <c r="AJ27" s="469"/>
      <c r="AK27" s="457"/>
      <c r="AL27" s="457"/>
      <c r="AM27" s="469"/>
      <c r="AN27" s="457"/>
      <c r="AO27" s="459"/>
      <c r="AP27" s="484"/>
      <c r="AQ27" s="457">
        <v>696260</v>
      </c>
      <c r="AR27" s="457">
        <f t="shared" si="54"/>
        <v>696260</v>
      </c>
      <c r="AS27" s="457"/>
      <c r="AT27" s="462">
        <f>(152235+12)/612179</f>
        <v>0.24869686807290026</v>
      </c>
      <c r="AU27" s="491">
        <f>$B27*AT27</f>
        <v>0.24869686807290026</v>
      </c>
      <c r="AV27" s="491"/>
      <c r="AW27" s="469"/>
      <c r="AX27" s="463"/>
      <c r="AY27" s="464"/>
      <c r="AZ27" s="456">
        <v>365</v>
      </c>
      <c r="BA27" s="457">
        <f t="shared" si="55"/>
        <v>365</v>
      </c>
      <c r="BB27" s="459"/>
      <c r="BC27" s="456">
        <v>56377</v>
      </c>
      <c r="BD27" s="457">
        <f t="shared" si="56"/>
        <v>56377</v>
      </c>
      <c r="BE27" s="459"/>
      <c r="BF27" s="484"/>
      <c r="BG27" s="456">
        <v>15529</v>
      </c>
      <c r="BH27" s="457">
        <f>$B27*BG27</f>
        <v>15529</v>
      </c>
      <c r="BI27" s="459"/>
      <c r="BJ27" s="456">
        <v>26347</v>
      </c>
      <c r="BK27" s="457">
        <f t="shared" si="57"/>
        <v>26347</v>
      </c>
      <c r="BL27" s="459"/>
      <c r="BM27" s="528">
        <v>12760</v>
      </c>
      <c r="BN27" s="457">
        <f t="shared" si="58"/>
        <v>12760</v>
      </c>
      <c r="BO27" s="457"/>
      <c r="BP27" s="456"/>
      <c r="BQ27" s="457"/>
      <c r="BR27" s="457"/>
      <c r="BS27" s="474"/>
      <c r="BT27" s="474"/>
      <c r="BU27" s="565">
        <v>5073</v>
      </c>
      <c r="BV27" s="457">
        <f t="shared" si="59"/>
        <v>5073</v>
      </c>
      <c r="BW27" s="457"/>
      <c r="BX27" s="458"/>
      <c r="BY27" s="460">
        <v>35622</v>
      </c>
      <c r="BZ27" s="457">
        <f t="shared" si="21"/>
        <v>35622</v>
      </c>
      <c r="CA27" s="457"/>
      <c r="CB27" s="532">
        <v>26408</v>
      </c>
      <c r="CC27" s="532">
        <v>9214</v>
      </c>
      <c r="CD27" s="565">
        <v>14719</v>
      </c>
      <c r="CE27" s="457">
        <f t="shared" si="60"/>
        <v>14719</v>
      </c>
      <c r="CF27" s="459"/>
      <c r="CG27" s="458">
        <f t="shared" si="50"/>
        <v>2.420137237584075</v>
      </c>
      <c r="CH27" s="456">
        <v>450</v>
      </c>
      <c r="CI27" s="457">
        <f>$B27*CH27</f>
        <v>450</v>
      </c>
      <c r="CJ27" s="459"/>
      <c r="CK27" s="456">
        <v>11409</v>
      </c>
      <c r="CL27" s="478">
        <f>$B27*CK27</f>
        <v>11409</v>
      </c>
      <c r="CM27" s="479"/>
      <c r="CN27" s="456">
        <v>180</v>
      </c>
      <c r="CO27" s="457">
        <f>$B27*CN27</f>
        <v>180</v>
      </c>
      <c r="CP27" s="459"/>
      <c r="CQ27" s="456">
        <v>26648</v>
      </c>
      <c r="CR27" s="457">
        <f t="shared" si="61"/>
        <v>26648</v>
      </c>
      <c r="CS27" s="459"/>
      <c r="CT27" s="456">
        <v>2018</v>
      </c>
      <c r="CU27" s="457">
        <f t="shared" si="62"/>
        <v>2018</v>
      </c>
      <c r="CV27" s="459"/>
      <c r="CW27" s="456">
        <v>33491</v>
      </c>
      <c r="CX27" s="457">
        <f t="shared" si="63"/>
        <v>33491</v>
      </c>
      <c r="CY27" s="459"/>
      <c r="CZ27" s="467">
        <v>94.4</v>
      </c>
      <c r="DA27" s="457">
        <v>1566</v>
      </c>
      <c r="DB27" s="468">
        <f t="shared" si="17"/>
        <v>21.377118644067796</v>
      </c>
      <c r="DC27" s="296">
        <f t="shared" si="23"/>
        <v>21.377118644067796</v>
      </c>
      <c r="DD27" s="296">
        <f t="shared" si="24"/>
        <v>0</v>
      </c>
    </row>
    <row r="28" spans="1:108" ht="15">
      <c r="A28" s="297" t="s">
        <v>186</v>
      </c>
      <c r="B28" s="361">
        <v>1</v>
      </c>
      <c r="C28" s="363">
        <v>1</v>
      </c>
      <c r="D28" s="378">
        <v>5.398671096345515</v>
      </c>
      <c r="E28" s="379">
        <v>130772</v>
      </c>
      <c r="F28" s="380">
        <f t="shared" si="0"/>
        <v>130772</v>
      </c>
      <c r="G28" s="380">
        <f t="shared" si="1"/>
        <v>130772</v>
      </c>
      <c r="H28" s="381"/>
      <c r="I28" s="482"/>
      <c r="J28" s="482"/>
      <c r="K28" s="379">
        <v>28794</v>
      </c>
      <c r="L28" s="380">
        <f t="shared" si="51"/>
        <v>28794</v>
      </c>
      <c r="M28" s="382">
        <f>$C28*K28</f>
        <v>28794</v>
      </c>
      <c r="N28" s="379">
        <v>1749271</v>
      </c>
      <c r="O28" s="380">
        <f t="shared" si="52"/>
        <v>1749271</v>
      </c>
      <c r="P28" s="380">
        <f>$C28*N28</f>
        <v>1749271</v>
      </c>
      <c r="Q28" s="381"/>
      <c r="R28" s="482"/>
      <c r="S28" s="482"/>
      <c r="T28" s="386"/>
      <c r="U28" s="380"/>
      <c r="V28" s="382"/>
      <c r="W28" s="386"/>
      <c r="X28" s="380"/>
      <c r="Y28" s="382"/>
      <c r="Z28" s="483"/>
      <c r="AA28" s="386">
        <v>10804</v>
      </c>
      <c r="AB28" s="380">
        <f t="shared" si="53"/>
        <v>10804</v>
      </c>
      <c r="AC28" s="380">
        <f>$C28*AA28</f>
        <v>10804</v>
      </c>
      <c r="AD28" s="384">
        <f>267/10804</f>
        <v>0.02471306923361718</v>
      </c>
      <c r="AE28" s="384">
        <f>$B28*AD28</f>
        <v>0.02471306923361718</v>
      </c>
      <c r="AF28" s="384">
        <f>$C28*AD28</f>
        <v>0.02471306923361718</v>
      </c>
      <c r="AG28" s="401"/>
      <c r="AH28" s="492"/>
      <c r="AI28" s="492"/>
      <c r="AJ28" s="398">
        <v>300</v>
      </c>
      <c r="AK28" s="380">
        <f>$B28*AJ28</f>
        <v>300</v>
      </c>
      <c r="AL28" s="380">
        <f>$C28*AJ28</f>
        <v>300</v>
      </c>
      <c r="AM28" s="379">
        <v>7308</v>
      </c>
      <c r="AN28" s="380">
        <f>$B28*AM28</f>
        <v>7308</v>
      </c>
      <c r="AO28" s="382">
        <f>$C28*AM28</f>
        <v>7308</v>
      </c>
      <c r="AP28" s="483">
        <f t="shared" si="7"/>
        <v>24.36</v>
      </c>
      <c r="AQ28" s="380">
        <v>538266</v>
      </c>
      <c r="AR28" s="380">
        <f t="shared" si="54"/>
        <v>538266</v>
      </c>
      <c r="AS28" s="380">
        <f>$C28*AQ28</f>
        <v>538266</v>
      </c>
      <c r="AT28" s="401"/>
      <c r="AU28" s="492"/>
      <c r="AV28" s="492"/>
      <c r="AW28" s="386">
        <v>1181</v>
      </c>
      <c r="AX28" s="402">
        <f>$B28*AW28</f>
        <v>1181</v>
      </c>
      <c r="AY28" s="403">
        <f>$C28*AW28</f>
        <v>1181</v>
      </c>
      <c r="AZ28" s="386">
        <v>199</v>
      </c>
      <c r="BA28" s="404">
        <f t="shared" si="55"/>
        <v>199</v>
      </c>
      <c r="BB28" s="405">
        <f>$C28*AZ28</f>
        <v>199</v>
      </c>
      <c r="BC28" s="386">
        <f>6326+6929+5848</f>
        <v>19103</v>
      </c>
      <c r="BD28" s="404">
        <f t="shared" si="56"/>
        <v>19103</v>
      </c>
      <c r="BE28" s="405">
        <f>$C28*BC28</f>
        <v>19103</v>
      </c>
      <c r="BF28" s="482">
        <f t="shared" si="18"/>
        <v>16.175275190516512</v>
      </c>
      <c r="BG28" s="379">
        <v>54189</v>
      </c>
      <c r="BH28" s="380">
        <f>$B28*BG28</f>
        <v>54189</v>
      </c>
      <c r="BI28" s="382">
        <f>$C28*BG28</f>
        <v>54189</v>
      </c>
      <c r="BJ28" s="379">
        <v>29045</v>
      </c>
      <c r="BK28" s="380">
        <f t="shared" si="57"/>
        <v>29045</v>
      </c>
      <c r="BL28" s="382">
        <f>$C28*BJ28</f>
        <v>29045</v>
      </c>
      <c r="BM28" s="527">
        <v>5920</v>
      </c>
      <c r="BN28" s="380">
        <f t="shared" si="58"/>
        <v>5920</v>
      </c>
      <c r="BO28" s="380">
        <f>$C28*BM28</f>
        <v>5920</v>
      </c>
      <c r="BP28" s="379">
        <v>6308</v>
      </c>
      <c r="BQ28" s="380">
        <f t="shared" si="19"/>
        <v>6308</v>
      </c>
      <c r="BR28" s="380">
        <f t="shared" si="20"/>
        <v>6308</v>
      </c>
      <c r="BS28" s="404">
        <v>5206</v>
      </c>
      <c r="BT28" s="404">
        <v>1102</v>
      </c>
      <c r="BU28" s="562">
        <v>2431</v>
      </c>
      <c r="BV28" s="380">
        <f t="shared" si="59"/>
        <v>2431</v>
      </c>
      <c r="BW28" s="380">
        <f>$C28*BU28</f>
        <v>2431</v>
      </c>
      <c r="BX28" s="383">
        <f>BP28/BU28</f>
        <v>2.594816947758124</v>
      </c>
      <c r="BY28" s="379">
        <v>20272</v>
      </c>
      <c r="BZ28" s="380">
        <f t="shared" si="21"/>
        <v>20272</v>
      </c>
      <c r="CA28" s="380">
        <f t="shared" si="22"/>
        <v>20272</v>
      </c>
      <c r="CB28" s="404">
        <v>17865</v>
      </c>
      <c r="CC28" s="404">
        <v>2407</v>
      </c>
      <c r="CD28" s="562">
        <v>7960</v>
      </c>
      <c r="CE28" s="380">
        <f t="shared" si="60"/>
        <v>7960</v>
      </c>
      <c r="CF28" s="382">
        <f>$C28*CD28</f>
        <v>7960</v>
      </c>
      <c r="CG28" s="383">
        <f t="shared" si="50"/>
        <v>2.5467336683417083</v>
      </c>
      <c r="CH28" s="379"/>
      <c r="CI28" s="395"/>
      <c r="CJ28" s="396"/>
      <c r="CK28" s="379">
        <v>931</v>
      </c>
      <c r="CL28" s="389">
        <f>$B28*CK28</f>
        <v>931</v>
      </c>
      <c r="CM28" s="390">
        <f>$C28*CK28</f>
        <v>931</v>
      </c>
      <c r="CN28" s="379"/>
      <c r="CO28" s="395"/>
      <c r="CP28" s="396"/>
      <c r="CQ28" s="379">
        <v>5775</v>
      </c>
      <c r="CR28" s="380">
        <f t="shared" si="61"/>
        <v>5775</v>
      </c>
      <c r="CS28" s="382">
        <f>$C28*CQ28</f>
        <v>5775</v>
      </c>
      <c r="CT28" s="379">
        <v>325</v>
      </c>
      <c r="CU28" s="380">
        <f t="shared" si="62"/>
        <v>325</v>
      </c>
      <c r="CV28" s="382">
        <f>$C28*CT28</f>
        <v>325</v>
      </c>
      <c r="CW28" s="379">
        <v>7057</v>
      </c>
      <c r="CX28" s="380">
        <f t="shared" si="63"/>
        <v>7057</v>
      </c>
      <c r="CY28" s="382">
        <f t="shared" si="16"/>
        <v>7057</v>
      </c>
      <c r="CZ28" s="391">
        <v>60.2</v>
      </c>
      <c r="DA28" s="380">
        <v>1307</v>
      </c>
      <c r="DB28" s="392">
        <f t="shared" si="17"/>
        <v>5.398671096345515</v>
      </c>
      <c r="DC28" s="296">
        <f t="shared" si="23"/>
        <v>5.398671096345515</v>
      </c>
      <c r="DD28" s="296">
        <f t="shared" si="24"/>
        <v>5.398671096345515</v>
      </c>
    </row>
    <row r="29" spans="1:108" ht="15">
      <c r="A29" s="297" t="s">
        <v>187</v>
      </c>
      <c r="B29" s="361">
        <v>1</v>
      </c>
      <c r="C29" s="299" t="s">
        <v>167</v>
      </c>
      <c r="D29" s="455">
        <v>2.052401746724891</v>
      </c>
      <c r="E29" s="456">
        <v>60193</v>
      </c>
      <c r="F29" s="457">
        <f t="shared" si="0"/>
        <v>60193</v>
      </c>
      <c r="G29" s="457">
        <f t="shared" si="1"/>
        <v>0</v>
      </c>
      <c r="H29" s="458">
        <v>0.3873239436619718</v>
      </c>
      <c r="I29" s="484">
        <f>$B29*H29</f>
        <v>0.3873239436619718</v>
      </c>
      <c r="J29" s="484"/>
      <c r="K29" s="456">
        <v>8302</v>
      </c>
      <c r="L29" s="457">
        <f t="shared" si="51"/>
        <v>8302</v>
      </c>
      <c r="M29" s="459"/>
      <c r="N29" s="456">
        <v>1074109</v>
      </c>
      <c r="O29" s="457">
        <f t="shared" si="52"/>
        <v>1074109</v>
      </c>
      <c r="P29" s="457"/>
      <c r="Q29" s="458"/>
      <c r="R29" s="484"/>
      <c r="S29" s="484"/>
      <c r="T29" s="456">
        <v>15300</v>
      </c>
      <c r="U29" s="457">
        <f>$B29*T29</f>
        <v>15300</v>
      </c>
      <c r="V29" s="459">
        <f aca="true" t="shared" si="64" ref="V29:V34">$C29*T29</f>
        <v>0</v>
      </c>
      <c r="W29" s="456">
        <v>25000</v>
      </c>
      <c r="X29" s="457">
        <f>$B29*W29</f>
        <v>25000</v>
      </c>
      <c r="Y29" s="459"/>
      <c r="Z29" s="484">
        <f t="shared" si="30"/>
        <v>1.6339869281045751</v>
      </c>
      <c r="AA29" s="456">
        <v>2378</v>
      </c>
      <c r="AB29" s="457">
        <f t="shared" si="53"/>
        <v>2378</v>
      </c>
      <c r="AC29" s="457"/>
      <c r="AD29" s="461">
        <v>0.0001</v>
      </c>
      <c r="AE29" s="461">
        <f>$B29*AD29</f>
        <v>0.0001</v>
      </c>
      <c r="AF29" s="461">
        <f>$C29*AD29</f>
        <v>0</v>
      </c>
      <c r="AG29" s="462">
        <f>5/2378</f>
        <v>0.0021026072329688814</v>
      </c>
      <c r="AH29" s="491">
        <f>$B29*AG29</f>
        <v>0.0021026072329688814</v>
      </c>
      <c r="AI29" s="491">
        <f aca="true" t="shared" si="65" ref="AI29:AI34">$C29*AG29</f>
        <v>0</v>
      </c>
      <c r="AJ29" s="456">
        <v>143</v>
      </c>
      <c r="AK29" s="457">
        <f>$B29*AJ29</f>
        <v>143</v>
      </c>
      <c r="AL29" s="457"/>
      <c r="AM29" s="456">
        <v>3146</v>
      </c>
      <c r="AN29" s="457">
        <f>$B29*AM29</f>
        <v>3146</v>
      </c>
      <c r="AO29" s="459"/>
      <c r="AP29" s="484">
        <f t="shared" si="7"/>
        <v>22</v>
      </c>
      <c r="AQ29" s="457">
        <v>108682</v>
      </c>
      <c r="AR29" s="457">
        <f t="shared" si="54"/>
        <v>108682</v>
      </c>
      <c r="AS29" s="457"/>
      <c r="AT29" s="462">
        <f>(6498+504)/74238</f>
        <v>0.09431827366038956</v>
      </c>
      <c r="AU29" s="491">
        <f>$B29*AT29</f>
        <v>0.09431827366038956</v>
      </c>
      <c r="AV29" s="491"/>
      <c r="AW29" s="456">
        <v>1996</v>
      </c>
      <c r="AX29" s="463">
        <f>$B29*AW29</f>
        <v>1996</v>
      </c>
      <c r="AY29" s="464"/>
      <c r="AZ29" s="456">
        <v>91</v>
      </c>
      <c r="BA29" s="457">
        <f t="shared" si="55"/>
        <v>91</v>
      </c>
      <c r="BB29" s="459"/>
      <c r="BC29" s="456">
        <v>16261</v>
      </c>
      <c r="BD29" s="457">
        <f t="shared" si="56"/>
        <v>16261</v>
      </c>
      <c r="BE29" s="459"/>
      <c r="BF29" s="484">
        <f t="shared" si="18"/>
        <v>8.146793587174349</v>
      </c>
      <c r="BG29" s="456"/>
      <c r="BH29" s="465"/>
      <c r="BI29" s="466"/>
      <c r="BJ29" s="456">
        <v>16439</v>
      </c>
      <c r="BK29" s="457">
        <f t="shared" si="57"/>
        <v>16439</v>
      </c>
      <c r="BL29" s="459"/>
      <c r="BM29" s="528">
        <v>5060</v>
      </c>
      <c r="BN29" s="457">
        <f t="shared" si="58"/>
        <v>5060</v>
      </c>
      <c r="BO29" s="457"/>
      <c r="BP29" s="456">
        <v>1581</v>
      </c>
      <c r="BQ29" s="457">
        <f t="shared" si="19"/>
        <v>1581</v>
      </c>
      <c r="BR29" s="457"/>
      <c r="BS29" s="474">
        <v>1258</v>
      </c>
      <c r="BT29" s="474">
        <f>49+295</f>
        <v>344</v>
      </c>
      <c r="BU29" s="565">
        <v>773</v>
      </c>
      <c r="BV29" s="457">
        <f t="shared" si="59"/>
        <v>773</v>
      </c>
      <c r="BW29" s="457"/>
      <c r="BX29" s="458">
        <f>BP29/BU29</f>
        <v>2.0452781371280726</v>
      </c>
      <c r="BY29" s="456">
        <v>6828</v>
      </c>
      <c r="BZ29" s="457">
        <f t="shared" si="21"/>
        <v>6828</v>
      </c>
      <c r="CA29" s="457"/>
      <c r="CB29" s="474">
        <f>5971+16</f>
        <v>5987</v>
      </c>
      <c r="CC29" s="474">
        <f>817+24</f>
        <v>841</v>
      </c>
      <c r="CD29" s="565">
        <v>3752</v>
      </c>
      <c r="CE29" s="457">
        <f t="shared" si="60"/>
        <v>3752</v>
      </c>
      <c r="CF29" s="459"/>
      <c r="CG29" s="458">
        <f t="shared" si="50"/>
        <v>1.8198294243070363</v>
      </c>
      <c r="CH29" s="456">
        <v>40</v>
      </c>
      <c r="CI29" s="457">
        <f>$B29*CH29</f>
        <v>40</v>
      </c>
      <c r="CJ29" s="459"/>
      <c r="CK29" s="456"/>
      <c r="CL29" s="465"/>
      <c r="CM29" s="466"/>
      <c r="CN29" s="456"/>
      <c r="CO29" s="465"/>
      <c r="CP29" s="466"/>
      <c r="CQ29" s="456">
        <v>7218</v>
      </c>
      <c r="CR29" s="457">
        <f t="shared" si="61"/>
        <v>7218</v>
      </c>
      <c r="CS29" s="459"/>
      <c r="CT29" s="456">
        <v>141</v>
      </c>
      <c r="CU29" s="457">
        <f t="shared" si="62"/>
        <v>141</v>
      </c>
      <c r="CV29" s="459"/>
      <c r="CW29" s="456">
        <v>9673</v>
      </c>
      <c r="CX29" s="457">
        <f t="shared" si="63"/>
        <v>9673</v>
      </c>
      <c r="CY29" s="459"/>
      <c r="CZ29" s="467">
        <v>68.7</v>
      </c>
      <c r="DA29" s="457">
        <v>4712</v>
      </c>
      <c r="DB29" s="468">
        <f t="shared" si="17"/>
        <v>2.052401746724891</v>
      </c>
      <c r="DC29" s="296">
        <f t="shared" si="23"/>
        <v>2.052401746724891</v>
      </c>
      <c r="DD29" s="296">
        <f t="shared" si="24"/>
        <v>0</v>
      </c>
    </row>
    <row r="30" spans="1:108" ht="15">
      <c r="A30" s="297" t="s">
        <v>188</v>
      </c>
      <c r="B30" s="361">
        <v>1</v>
      </c>
      <c r="C30" s="363">
        <v>1</v>
      </c>
      <c r="D30" s="378">
        <v>46.195965417867434</v>
      </c>
      <c r="E30" s="379">
        <v>817688</v>
      </c>
      <c r="F30" s="380">
        <f t="shared" si="0"/>
        <v>817688</v>
      </c>
      <c r="G30" s="380">
        <f t="shared" si="1"/>
        <v>817688</v>
      </c>
      <c r="H30" s="383">
        <f>811/1188</f>
        <v>0.6826599326599326</v>
      </c>
      <c r="I30" s="483">
        <f>$B30*H30</f>
        <v>0.6826599326599326</v>
      </c>
      <c r="J30" s="483">
        <f>$C30*H30</f>
        <v>0.6826599326599326</v>
      </c>
      <c r="K30" s="379">
        <v>156638</v>
      </c>
      <c r="L30" s="380">
        <f t="shared" si="51"/>
        <v>156638</v>
      </c>
      <c r="M30" s="382">
        <f>$C30*K30</f>
        <v>156638</v>
      </c>
      <c r="N30" s="379">
        <v>22277000</v>
      </c>
      <c r="O30" s="380">
        <f t="shared" si="52"/>
        <v>22277000</v>
      </c>
      <c r="P30" s="380">
        <f>$C30*N30</f>
        <v>22277000</v>
      </c>
      <c r="Q30" s="383">
        <f>10.8/22.15</f>
        <v>0.4875846501128669</v>
      </c>
      <c r="R30" s="483">
        <f>$B30*Q30</f>
        <v>0.4875846501128669</v>
      </c>
      <c r="S30" s="483">
        <f>$C30*Q30</f>
        <v>0.4875846501128669</v>
      </c>
      <c r="T30" s="379">
        <v>220300</v>
      </c>
      <c r="U30" s="380">
        <f>$B30*T30</f>
        <v>220300</v>
      </c>
      <c r="V30" s="382">
        <f t="shared" si="64"/>
        <v>220300</v>
      </c>
      <c r="W30" s="379">
        <v>344500</v>
      </c>
      <c r="X30" s="380">
        <f>$B30*W30</f>
        <v>344500</v>
      </c>
      <c r="Y30" s="382">
        <f>$C30*W30</f>
        <v>344500</v>
      </c>
      <c r="Z30" s="483">
        <f t="shared" si="30"/>
        <v>1.563776668179755</v>
      </c>
      <c r="AA30" s="379">
        <v>62196</v>
      </c>
      <c r="AB30" s="380">
        <f t="shared" si="53"/>
        <v>62196</v>
      </c>
      <c r="AC30" s="380">
        <f>$C30*AA30</f>
        <v>62196</v>
      </c>
      <c r="AD30" s="400"/>
      <c r="AE30" s="400"/>
      <c r="AF30" s="400"/>
      <c r="AG30" s="385">
        <f>(521+17)/62196</f>
        <v>0.008650073959740176</v>
      </c>
      <c r="AH30" s="490">
        <f>$B30*AG30</f>
        <v>0.008650073959740176</v>
      </c>
      <c r="AI30" s="490">
        <f t="shared" si="65"/>
        <v>0.008650073959740176</v>
      </c>
      <c r="AJ30" s="379">
        <v>2505</v>
      </c>
      <c r="AK30" s="380">
        <f>$B30*AJ30</f>
        <v>2505</v>
      </c>
      <c r="AL30" s="380">
        <f>$C30*AJ30</f>
        <v>2505</v>
      </c>
      <c r="AM30" s="379">
        <v>60864</v>
      </c>
      <c r="AN30" s="380">
        <f>$B30*AM30</f>
        <v>60864</v>
      </c>
      <c r="AO30" s="382">
        <f>$C30*AM30</f>
        <v>60864</v>
      </c>
      <c r="AP30" s="483">
        <f t="shared" si="7"/>
        <v>24.29700598802395</v>
      </c>
      <c r="AQ30" s="380">
        <v>5672319</v>
      </c>
      <c r="AR30" s="380">
        <f t="shared" si="54"/>
        <v>5672319</v>
      </c>
      <c r="AS30" s="380">
        <f>$C30*AQ30</f>
        <v>5672319</v>
      </c>
      <c r="AT30" s="385">
        <f>(653143+677)/5192219</f>
        <v>0.12592303984096204</v>
      </c>
      <c r="AU30" s="490">
        <f>$B30*AT30</f>
        <v>0.12592303984096204</v>
      </c>
      <c r="AV30" s="490">
        <f>$C30*AT30</f>
        <v>0.12592303984096204</v>
      </c>
      <c r="AW30" s="379">
        <v>28386</v>
      </c>
      <c r="AX30" s="387">
        <f>$B30*AW30</f>
        <v>28386</v>
      </c>
      <c r="AY30" s="388">
        <f>$C30*AW30</f>
        <v>28386</v>
      </c>
      <c r="AZ30" s="379">
        <v>2120</v>
      </c>
      <c r="BA30" s="380">
        <f t="shared" si="55"/>
        <v>2120</v>
      </c>
      <c r="BB30" s="382">
        <f>$C30*AZ30</f>
        <v>2120</v>
      </c>
      <c r="BC30" s="379">
        <v>242978</v>
      </c>
      <c r="BD30" s="380">
        <f t="shared" si="56"/>
        <v>242978</v>
      </c>
      <c r="BE30" s="382">
        <f>$C30*BC30</f>
        <v>242978</v>
      </c>
      <c r="BF30" s="483">
        <f t="shared" si="18"/>
        <v>8.559782991615585</v>
      </c>
      <c r="BG30" s="379">
        <v>391711</v>
      </c>
      <c r="BH30" s="380">
        <f>$B30*BG30</f>
        <v>391711</v>
      </c>
      <c r="BI30" s="382">
        <f>$C30*BG30</f>
        <v>391711</v>
      </c>
      <c r="BJ30" s="379">
        <v>206840</v>
      </c>
      <c r="BK30" s="380">
        <f t="shared" si="57"/>
        <v>206840</v>
      </c>
      <c r="BL30" s="382">
        <f>$C30*BJ30</f>
        <v>206840</v>
      </c>
      <c r="BM30" s="527">
        <v>85130</v>
      </c>
      <c r="BN30" s="380">
        <f t="shared" si="58"/>
        <v>85130</v>
      </c>
      <c r="BO30" s="380">
        <f>$C30*BM30</f>
        <v>85130</v>
      </c>
      <c r="BP30" s="379">
        <v>41546</v>
      </c>
      <c r="BQ30" s="380">
        <f t="shared" si="19"/>
        <v>41546</v>
      </c>
      <c r="BR30" s="380">
        <f t="shared" si="20"/>
        <v>41546</v>
      </c>
      <c r="BS30" s="404">
        <f>5093+31988</f>
        <v>37081</v>
      </c>
      <c r="BT30" s="404">
        <f>1884+2581</f>
        <v>4465</v>
      </c>
      <c r="BU30" s="562">
        <v>21398</v>
      </c>
      <c r="BV30" s="380">
        <f t="shared" si="59"/>
        <v>21398</v>
      </c>
      <c r="BW30" s="380">
        <f>$C30*BU30</f>
        <v>21398</v>
      </c>
      <c r="BX30" s="383">
        <f>BP30/BU30</f>
        <v>1.9415833255444435</v>
      </c>
      <c r="BY30" s="379">
        <v>24739</v>
      </c>
      <c r="BZ30" s="380">
        <f t="shared" si="21"/>
        <v>24739</v>
      </c>
      <c r="CA30" s="380">
        <f t="shared" si="22"/>
        <v>24739</v>
      </c>
      <c r="CB30" s="404">
        <f>20512</f>
        <v>20512</v>
      </c>
      <c r="CC30" s="404">
        <v>4227</v>
      </c>
      <c r="CD30" s="562">
        <v>7564</v>
      </c>
      <c r="CE30" s="380">
        <f t="shared" si="60"/>
        <v>7564</v>
      </c>
      <c r="CF30" s="382">
        <f>$C30*CD30</f>
        <v>7564</v>
      </c>
      <c r="CG30" s="383">
        <f t="shared" si="50"/>
        <v>3.2706240084611315</v>
      </c>
      <c r="CH30" s="379">
        <v>1940</v>
      </c>
      <c r="CI30" s="380">
        <f>$B30*CH30</f>
        <v>1940</v>
      </c>
      <c r="CJ30" s="382">
        <f>$C30*CH30</f>
        <v>1940</v>
      </c>
      <c r="CK30" s="379"/>
      <c r="CL30" s="395"/>
      <c r="CM30" s="396"/>
      <c r="CN30" s="379"/>
      <c r="CO30" s="395"/>
      <c r="CP30" s="396"/>
      <c r="CQ30" s="379">
        <v>35878</v>
      </c>
      <c r="CR30" s="380">
        <f t="shared" si="61"/>
        <v>35878</v>
      </c>
      <c r="CS30" s="382">
        <f>$C30*CQ30</f>
        <v>35878</v>
      </c>
      <c r="CT30" s="379">
        <v>1603</v>
      </c>
      <c r="CU30" s="380">
        <f t="shared" si="62"/>
        <v>1603</v>
      </c>
      <c r="CV30" s="382">
        <f>$C30*CT30</f>
        <v>1603</v>
      </c>
      <c r="CW30" s="379">
        <v>56120</v>
      </c>
      <c r="CX30" s="380">
        <f t="shared" si="63"/>
        <v>56120</v>
      </c>
      <c r="CY30" s="382">
        <f t="shared" si="16"/>
        <v>56120</v>
      </c>
      <c r="CZ30" s="391">
        <v>34.7</v>
      </c>
      <c r="DA30" s="380">
        <v>1215</v>
      </c>
      <c r="DB30" s="392">
        <f t="shared" si="17"/>
        <v>46.195965417867434</v>
      </c>
      <c r="DC30" s="296">
        <f t="shared" si="23"/>
        <v>46.195965417867434</v>
      </c>
      <c r="DD30" s="296">
        <f t="shared" si="24"/>
        <v>46.195965417867434</v>
      </c>
    </row>
    <row r="31" spans="1:108" ht="15">
      <c r="A31" s="297" t="s">
        <v>189</v>
      </c>
      <c r="B31" s="361">
        <v>1</v>
      </c>
      <c r="C31" s="363">
        <v>1</v>
      </c>
      <c r="D31" s="378">
        <v>9.437869822485208</v>
      </c>
      <c r="E31" s="379">
        <v>326649</v>
      </c>
      <c r="F31" s="380">
        <f t="shared" si="0"/>
        <v>326649</v>
      </c>
      <c r="G31" s="380">
        <f t="shared" si="1"/>
        <v>326649</v>
      </c>
      <c r="H31" s="383">
        <f>90/257</f>
        <v>0.35019455252918286</v>
      </c>
      <c r="I31" s="483">
        <f>$B31*H31</f>
        <v>0.35019455252918286</v>
      </c>
      <c r="J31" s="483">
        <f>$C31*H31</f>
        <v>0.35019455252918286</v>
      </c>
      <c r="K31" s="379">
        <v>54073</v>
      </c>
      <c r="L31" s="380">
        <f t="shared" si="51"/>
        <v>54073</v>
      </c>
      <c r="M31" s="382">
        <f>$C31*K31</f>
        <v>54073</v>
      </c>
      <c r="N31" s="379">
        <v>4401352</v>
      </c>
      <c r="O31" s="380">
        <f t="shared" si="52"/>
        <v>4401352</v>
      </c>
      <c r="P31" s="380">
        <f>$C31*N31</f>
        <v>4401352</v>
      </c>
      <c r="Q31" s="383">
        <f>0.42/4.28</f>
        <v>0.09813084112149532</v>
      </c>
      <c r="R31" s="483">
        <f>$B31*Q31</f>
        <v>0.09813084112149532</v>
      </c>
      <c r="S31" s="483">
        <f>$C31*Q31</f>
        <v>0.09813084112149532</v>
      </c>
      <c r="T31" s="379">
        <v>64500</v>
      </c>
      <c r="U31" s="380">
        <f>$B31*T31</f>
        <v>64500</v>
      </c>
      <c r="V31" s="382">
        <f t="shared" si="64"/>
        <v>64500</v>
      </c>
      <c r="W31" s="379">
        <v>99300</v>
      </c>
      <c r="X31" s="380">
        <f>$B31*W31</f>
        <v>99300</v>
      </c>
      <c r="Y31" s="382">
        <f>$C31*W31</f>
        <v>99300</v>
      </c>
      <c r="Z31" s="483">
        <f t="shared" si="30"/>
        <v>1.5395348837209302</v>
      </c>
      <c r="AA31" s="379">
        <v>13477</v>
      </c>
      <c r="AB31" s="380">
        <f t="shared" si="53"/>
        <v>13477</v>
      </c>
      <c r="AC31" s="380">
        <f>$C31*AA31</f>
        <v>13477</v>
      </c>
      <c r="AD31" s="384">
        <f>8/13477</f>
        <v>0.0005936039177858574</v>
      </c>
      <c r="AE31" s="384">
        <f>$B31*AD31</f>
        <v>0.0005936039177858574</v>
      </c>
      <c r="AF31" s="384">
        <f>$C31*AD31</f>
        <v>0.0005936039177858574</v>
      </c>
      <c r="AG31" s="385">
        <f>(88+1387)/13474</f>
        <v>0.10947009054475286</v>
      </c>
      <c r="AH31" s="490">
        <f>$B31*AG31</f>
        <v>0.10947009054475286</v>
      </c>
      <c r="AI31" s="490">
        <f t="shared" si="65"/>
        <v>0.10947009054475286</v>
      </c>
      <c r="AJ31" s="379">
        <v>852</v>
      </c>
      <c r="AK31" s="380">
        <f>$B31*AJ31</f>
        <v>852</v>
      </c>
      <c r="AL31" s="380">
        <f>$C31*AJ31</f>
        <v>852</v>
      </c>
      <c r="AM31" s="379">
        <v>8525</v>
      </c>
      <c r="AN31" s="380">
        <f>$B31*AM31</f>
        <v>8525</v>
      </c>
      <c r="AO31" s="382">
        <f>$C31*AM31</f>
        <v>8525</v>
      </c>
      <c r="AP31" s="483">
        <f t="shared" si="7"/>
        <v>10.005868544600938</v>
      </c>
      <c r="AQ31" s="380">
        <v>548272</v>
      </c>
      <c r="AR31" s="380">
        <f t="shared" si="54"/>
        <v>548272</v>
      </c>
      <c r="AS31" s="380">
        <f>$C31*AQ31</f>
        <v>548272</v>
      </c>
      <c r="AT31" s="385">
        <f>(110192+2016)/502036</f>
        <v>0.22350588404018834</v>
      </c>
      <c r="AU31" s="490">
        <f>$B31*AT31</f>
        <v>0.22350588404018834</v>
      </c>
      <c r="AV31" s="490">
        <f>$C31*AT31</f>
        <v>0.22350588404018834</v>
      </c>
      <c r="AW31" s="379">
        <v>11497</v>
      </c>
      <c r="AX31" s="387">
        <f>$B31*AW31</f>
        <v>11497</v>
      </c>
      <c r="AY31" s="388">
        <f>$C31*AW31</f>
        <v>11497</v>
      </c>
      <c r="AZ31" s="379">
        <v>367</v>
      </c>
      <c r="BA31" s="380">
        <f t="shared" si="55"/>
        <v>367</v>
      </c>
      <c r="BB31" s="382">
        <f>$C31*AZ31</f>
        <v>367</v>
      </c>
      <c r="BC31" s="379">
        <v>42367</v>
      </c>
      <c r="BD31" s="380">
        <f t="shared" si="56"/>
        <v>42367</v>
      </c>
      <c r="BE31" s="382">
        <f>$C31*BC31</f>
        <v>42367</v>
      </c>
      <c r="BF31" s="483">
        <f t="shared" si="18"/>
        <v>3.6850482734626424</v>
      </c>
      <c r="BG31" s="379">
        <v>109000</v>
      </c>
      <c r="BH31" s="380">
        <f>$B31*BG31</f>
        <v>109000</v>
      </c>
      <c r="BI31" s="382">
        <f>$C31*BG31</f>
        <v>109000</v>
      </c>
      <c r="BJ31" s="379">
        <v>36946</v>
      </c>
      <c r="BK31" s="380">
        <f t="shared" si="57"/>
        <v>36946</v>
      </c>
      <c r="BL31" s="382">
        <f>$C31*BJ31</f>
        <v>36946</v>
      </c>
      <c r="BM31" s="527">
        <v>20400</v>
      </c>
      <c r="BN31" s="380">
        <f t="shared" si="58"/>
        <v>20400</v>
      </c>
      <c r="BO31" s="380">
        <f>$C31*BM31</f>
        <v>20400</v>
      </c>
      <c r="BP31" s="379">
        <v>20187</v>
      </c>
      <c r="BQ31" s="380">
        <f t="shared" si="19"/>
        <v>20187</v>
      </c>
      <c r="BR31" s="380">
        <f t="shared" si="20"/>
        <v>20187</v>
      </c>
      <c r="BS31" s="404">
        <v>19675</v>
      </c>
      <c r="BT31" s="404">
        <v>511</v>
      </c>
      <c r="BU31" s="562">
        <v>11378</v>
      </c>
      <c r="BV31" s="380">
        <f t="shared" si="59"/>
        <v>11378</v>
      </c>
      <c r="BW31" s="380">
        <f>$C31*BU31</f>
        <v>11378</v>
      </c>
      <c r="BX31" s="383">
        <f>BP31/BU31</f>
        <v>1.7742133942696432</v>
      </c>
      <c r="BY31" s="379">
        <v>45840</v>
      </c>
      <c r="BZ31" s="380">
        <f t="shared" si="21"/>
        <v>45840</v>
      </c>
      <c r="CA31" s="380">
        <f t="shared" si="22"/>
        <v>45840</v>
      </c>
      <c r="CB31" s="404">
        <v>43687</v>
      </c>
      <c r="CC31" s="404">
        <v>2153</v>
      </c>
      <c r="CD31" s="562">
        <v>22864</v>
      </c>
      <c r="CE31" s="380">
        <f t="shared" si="60"/>
        <v>22864</v>
      </c>
      <c r="CF31" s="382">
        <f>$C31*CD31</f>
        <v>22864</v>
      </c>
      <c r="CG31" s="383">
        <f t="shared" si="50"/>
        <v>2.0048985304408675</v>
      </c>
      <c r="CH31" s="379"/>
      <c r="CI31" s="395"/>
      <c r="CJ31" s="396"/>
      <c r="CK31" s="379"/>
      <c r="CL31" s="395"/>
      <c r="CM31" s="396"/>
      <c r="CN31" s="379"/>
      <c r="CO31" s="395"/>
      <c r="CP31" s="396"/>
      <c r="CQ31" s="379">
        <v>16119</v>
      </c>
      <c r="CR31" s="380">
        <f t="shared" si="61"/>
        <v>16119</v>
      </c>
      <c r="CS31" s="382">
        <f>$C31*CQ31</f>
        <v>16119</v>
      </c>
      <c r="CT31" s="379">
        <v>319</v>
      </c>
      <c r="CU31" s="380">
        <f t="shared" si="62"/>
        <v>319</v>
      </c>
      <c r="CV31" s="382">
        <f>$C31*CT31</f>
        <v>319</v>
      </c>
      <c r="CW31" s="379">
        <v>22360</v>
      </c>
      <c r="CX31" s="380">
        <f t="shared" si="63"/>
        <v>22360</v>
      </c>
      <c r="CY31" s="382">
        <f t="shared" si="16"/>
        <v>22360</v>
      </c>
      <c r="CZ31" s="391">
        <v>33.8</v>
      </c>
      <c r="DA31" s="380">
        <v>2366</v>
      </c>
      <c r="DB31" s="392">
        <f t="shared" si="17"/>
        <v>9.437869822485208</v>
      </c>
      <c r="DC31" s="296">
        <f t="shared" si="23"/>
        <v>9.437869822485208</v>
      </c>
      <c r="DD31" s="296">
        <f t="shared" si="24"/>
        <v>9.437869822485208</v>
      </c>
    </row>
    <row r="32" spans="1:108" ht="15">
      <c r="A32" s="297" t="s">
        <v>190</v>
      </c>
      <c r="B32" s="481" t="s">
        <v>167</v>
      </c>
      <c r="C32" s="363">
        <v>1</v>
      </c>
      <c r="D32" s="434">
        <v>7.920792079207921</v>
      </c>
      <c r="E32" s="435">
        <v>327955</v>
      </c>
      <c r="F32" s="436">
        <f t="shared" si="0"/>
        <v>0</v>
      </c>
      <c r="G32" s="436">
        <f t="shared" si="1"/>
        <v>327955</v>
      </c>
      <c r="H32" s="437">
        <f>93/288</f>
        <v>0.3229166666666667</v>
      </c>
      <c r="I32" s="485"/>
      <c r="J32" s="485">
        <f>$C32*H32</f>
        <v>0.3229166666666667</v>
      </c>
      <c r="K32" s="435">
        <v>48402</v>
      </c>
      <c r="L32" s="436"/>
      <c r="M32" s="438">
        <f>$C32*K32</f>
        <v>48402</v>
      </c>
      <c r="N32" s="435">
        <v>4163003</v>
      </c>
      <c r="O32" s="436"/>
      <c r="P32" s="436">
        <f>$C32*N32</f>
        <v>4163003</v>
      </c>
      <c r="Q32" s="437">
        <f>0.6/4</f>
        <v>0.15</v>
      </c>
      <c r="R32" s="485">
        <f>$B32*Q32</f>
        <v>0</v>
      </c>
      <c r="S32" s="485">
        <f>$C32*Q32</f>
        <v>0.15</v>
      </c>
      <c r="T32" s="435">
        <v>54300</v>
      </c>
      <c r="U32" s="436"/>
      <c r="V32" s="438">
        <f t="shared" si="64"/>
        <v>54300</v>
      </c>
      <c r="W32" s="435">
        <v>86100</v>
      </c>
      <c r="X32" s="436"/>
      <c r="Y32" s="438">
        <f>$C32*W32</f>
        <v>86100</v>
      </c>
      <c r="Z32" s="485">
        <f t="shared" si="30"/>
        <v>1.5856353591160222</v>
      </c>
      <c r="AA32" s="435">
        <v>48500</v>
      </c>
      <c r="AB32" s="436"/>
      <c r="AC32" s="436">
        <f>$C32*AA32</f>
        <v>48500</v>
      </c>
      <c r="AD32" s="449">
        <f>32/48500</f>
        <v>0.0006597938144329897</v>
      </c>
      <c r="AE32" s="449"/>
      <c r="AF32" s="449">
        <f>$C32*AD32</f>
        <v>0.0006597938144329897</v>
      </c>
      <c r="AG32" s="441">
        <f>(12400)/48500</f>
        <v>0.2556701030927835</v>
      </c>
      <c r="AH32" s="494"/>
      <c r="AI32" s="494">
        <f t="shared" si="65"/>
        <v>0.2556701030927835</v>
      </c>
      <c r="AJ32" s="435">
        <v>274</v>
      </c>
      <c r="AK32" s="436"/>
      <c r="AL32" s="436">
        <f>$C32*AJ32</f>
        <v>274</v>
      </c>
      <c r="AM32" s="435">
        <v>6222</v>
      </c>
      <c r="AN32" s="436"/>
      <c r="AO32" s="438">
        <f>$C32*AM32</f>
        <v>6222</v>
      </c>
      <c r="AP32" s="485">
        <f t="shared" si="7"/>
        <v>22.708029197080293</v>
      </c>
      <c r="AQ32" s="436">
        <v>595519</v>
      </c>
      <c r="AR32" s="436"/>
      <c r="AS32" s="436">
        <f>$C32*AQ32</f>
        <v>595519</v>
      </c>
      <c r="AT32" s="441">
        <f>(97300+1900)/315200</f>
        <v>0.3147208121827411</v>
      </c>
      <c r="AU32" s="494"/>
      <c r="AV32" s="494">
        <f>$C32*AT32</f>
        <v>0.3147208121827411</v>
      </c>
      <c r="AW32" s="435">
        <v>5746</v>
      </c>
      <c r="AX32" s="442"/>
      <c r="AY32" s="443">
        <f>$C32*AW32</f>
        <v>5746</v>
      </c>
      <c r="AZ32" s="435">
        <v>329</v>
      </c>
      <c r="BA32" s="436"/>
      <c r="BB32" s="438">
        <f>$C32*AZ32</f>
        <v>329</v>
      </c>
      <c r="BC32" s="448">
        <v>16218</v>
      </c>
      <c r="BD32" s="436"/>
      <c r="BE32" s="438">
        <f>$C32*BC32</f>
        <v>16218</v>
      </c>
      <c r="BF32" s="485">
        <f t="shared" si="18"/>
        <v>2.8224852071005917</v>
      </c>
      <c r="BG32" s="435">
        <v>101717</v>
      </c>
      <c r="BH32" s="436"/>
      <c r="BI32" s="438">
        <f>$C32*BG32</f>
        <v>101717</v>
      </c>
      <c r="BJ32" s="435">
        <v>17510</v>
      </c>
      <c r="BK32" s="436"/>
      <c r="BL32" s="438">
        <f>$C32*BJ32</f>
        <v>17510</v>
      </c>
      <c r="BM32" s="529">
        <v>16720</v>
      </c>
      <c r="BN32" s="436"/>
      <c r="BO32" s="436">
        <f>$C32*BM32</f>
        <v>16720</v>
      </c>
      <c r="BP32" s="435"/>
      <c r="BQ32" s="436"/>
      <c r="BR32" s="436"/>
      <c r="BS32" s="574"/>
      <c r="BT32" s="574"/>
      <c r="BU32" s="568">
        <v>19471</v>
      </c>
      <c r="BV32" s="436"/>
      <c r="BW32" s="436">
        <f>$C32*BU32</f>
        <v>19471</v>
      </c>
      <c r="BX32" s="437"/>
      <c r="BY32" s="435"/>
      <c r="BZ32" s="436"/>
      <c r="CA32" s="436"/>
      <c r="CB32" s="574"/>
      <c r="CC32" s="574"/>
      <c r="CD32" s="568">
        <v>11526</v>
      </c>
      <c r="CE32" s="436"/>
      <c r="CF32" s="438">
        <f>$C32*CD32</f>
        <v>11526</v>
      </c>
      <c r="CG32" s="437"/>
      <c r="CH32" s="435">
        <v>40</v>
      </c>
      <c r="CI32" s="436"/>
      <c r="CJ32" s="438">
        <f>$C32*CH32</f>
        <v>40</v>
      </c>
      <c r="CK32" s="435"/>
      <c r="CL32" s="444"/>
      <c r="CM32" s="445"/>
      <c r="CN32" s="435">
        <v>30</v>
      </c>
      <c r="CO32" s="436"/>
      <c r="CP32" s="438">
        <f>$C32*CN32</f>
        <v>30</v>
      </c>
      <c r="CQ32" s="435">
        <v>18990</v>
      </c>
      <c r="CR32" s="436"/>
      <c r="CS32" s="438">
        <f>$C32*CQ32</f>
        <v>18990</v>
      </c>
      <c r="CT32" s="435">
        <v>320</v>
      </c>
      <c r="CU32" s="436"/>
      <c r="CV32" s="438">
        <f>$C32*CT32</f>
        <v>320</v>
      </c>
      <c r="CW32" s="435">
        <v>23242</v>
      </c>
      <c r="CX32" s="436"/>
      <c r="CY32" s="438">
        <f t="shared" si="16"/>
        <v>23242</v>
      </c>
      <c r="CZ32" s="446">
        <v>40.4</v>
      </c>
      <c r="DA32" s="436">
        <v>2937</v>
      </c>
      <c r="DB32" s="447">
        <f t="shared" si="17"/>
        <v>7.920792079207921</v>
      </c>
      <c r="DC32" s="296">
        <f t="shared" si="23"/>
        <v>0</v>
      </c>
      <c r="DD32" s="296">
        <f t="shared" si="24"/>
        <v>7.920792079207921</v>
      </c>
    </row>
    <row r="33" spans="1:108" ht="15">
      <c r="A33" s="297" t="s">
        <v>191</v>
      </c>
      <c r="B33" s="481" t="s">
        <v>167</v>
      </c>
      <c r="C33" s="363">
        <v>1</v>
      </c>
      <c r="D33" s="434">
        <v>74.75633528265108</v>
      </c>
      <c r="E33" s="435">
        <v>602248</v>
      </c>
      <c r="F33" s="436">
        <f t="shared" si="0"/>
        <v>0</v>
      </c>
      <c r="G33" s="436">
        <f t="shared" si="1"/>
        <v>602248</v>
      </c>
      <c r="H33" s="437">
        <f>168/353</f>
        <v>0.47592067988668557</v>
      </c>
      <c r="I33" s="485"/>
      <c r="J33" s="485">
        <f>$C33*H33</f>
        <v>0.47592067988668557</v>
      </c>
      <c r="K33" s="435">
        <v>294234</v>
      </c>
      <c r="L33" s="436"/>
      <c r="M33" s="438">
        <f>$C33*K33</f>
        <v>294234</v>
      </c>
      <c r="N33" s="435">
        <v>8113111</v>
      </c>
      <c r="O33" s="436"/>
      <c r="P33" s="436">
        <f>$C33*N33</f>
        <v>8113111</v>
      </c>
      <c r="Q33" s="450">
        <f>0.95/6.8</f>
        <v>0.13970588235294118</v>
      </c>
      <c r="R33" s="489">
        <f>$B33*Q33</f>
        <v>0</v>
      </c>
      <c r="S33" s="489">
        <f>$C33*Q33</f>
        <v>0.13970588235294118</v>
      </c>
      <c r="T33" s="435">
        <v>47502</v>
      </c>
      <c r="U33" s="436"/>
      <c r="V33" s="438">
        <f t="shared" si="64"/>
        <v>47502</v>
      </c>
      <c r="W33" s="439"/>
      <c r="X33" s="436"/>
      <c r="Y33" s="438"/>
      <c r="Z33" s="485"/>
      <c r="AA33" s="439">
        <v>583492</v>
      </c>
      <c r="AB33" s="436"/>
      <c r="AC33" s="436">
        <f>$C33*AA33</f>
        <v>583492</v>
      </c>
      <c r="AD33" s="449"/>
      <c r="AE33" s="449"/>
      <c r="AF33" s="449"/>
      <c r="AG33" s="441">
        <f>(30374)/583482</f>
        <v>0.05205644732828091</v>
      </c>
      <c r="AH33" s="494"/>
      <c r="AI33" s="494">
        <f t="shared" si="65"/>
        <v>0.05205644732828091</v>
      </c>
      <c r="AJ33" s="435">
        <v>3449</v>
      </c>
      <c r="AK33" s="436"/>
      <c r="AL33" s="436">
        <f>$C33*AJ33</f>
        <v>3449</v>
      </c>
      <c r="AM33" s="439"/>
      <c r="AN33" s="436"/>
      <c r="AO33" s="438"/>
      <c r="AP33" s="485"/>
      <c r="AQ33" s="436">
        <v>3339562</v>
      </c>
      <c r="AR33" s="436"/>
      <c r="AS33" s="436">
        <f>$C33*AQ33</f>
        <v>3339562</v>
      </c>
      <c r="AT33" s="441">
        <f>(215261+90396)/2699811</f>
        <v>0.11321422129178672</v>
      </c>
      <c r="AU33" s="494"/>
      <c r="AV33" s="494">
        <f>$C33*AT33</f>
        <v>0.11321422129178672</v>
      </c>
      <c r="AW33" s="435">
        <v>18821</v>
      </c>
      <c r="AX33" s="442"/>
      <c r="AY33" s="443">
        <f>$C33*AW33</f>
        <v>18821</v>
      </c>
      <c r="AZ33" s="439"/>
      <c r="BA33" s="436"/>
      <c r="BB33" s="438"/>
      <c r="BC33" s="435">
        <v>181935</v>
      </c>
      <c r="BD33" s="436"/>
      <c r="BE33" s="438">
        <f>$C33*BC33</f>
        <v>181935</v>
      </c>
      <c r="BF33" s="485">
        <f t="shared" si="18"/>
        <v>9.666595823813825</v>
      </c>
      <c r="BG33" s="435">
        <v>242265</v>
      </c>
      <c r="BH33" s="436"/>
      <c r="BI33" s="438">
        <f>$C33*BG33</f>
        <v>242265</v>
      </c>
      <c r="BJ33" s="435">
        <v>203072</v>
      </c>
      <c r="BK33" s="436"/>
      <c r="BL33" s="438">
        <f>$C33*BJ33</f>
        <v>203072</v>
      </c>
      <c r="BM33" s="529">
        <v>39030</v>
      </c>
      <c r="BN33" s="436"/>
      <c r="BO33" s="436">
        <f>$C33*BM33</f>
        <v>39030</v>
      </c>
      <c r="BP33" s="435">
        <v>7015</v>
      </c>
      <c r="BQ33" s="436"/>
      <c r="BR33" s="436">
        <f t="shared" si="20"/>
        <v>7015</v>
      </c>
      <c r="BS33" s="574">
        <f>1888+1319</f>
        <v>3207</v>
      </c>
      <c r="BT33" s="574">
        <f>3660+148</f>
        <v>3808</v>
      </c>
      <c r="BU33" s="568">
        <v>5882</v>
      </c>
      <c r="BV33" s="436"/>
      <c r="BW33" s="436">
        <f>$C33*BU33</f>
        <v>5882</v>
      </c>
      <c r="BX33" s="437">
        <f>BP33/BU33</f>
        <v>1.1926215572934376</v>
      </c>
      <c r="BY33" s="435">
        <v>18344</v>
      </c>
      <c r="BZ33" s="436"/>
      <c r="CA33" s="436">
        <f t="shared" si="22"/>
        <v>18344</v>
      </c>
      <c r="CB33" s="574">
        <v>2189</v>
      </c>
      <c r="CC33" s="574">
        <v>16155</v>
      </c>
      <c r="CD33" s="568">
        <v>11677</v>
      </c>
      <c r="CE33" s="436"/>
      <c r="CF33" s="438">
        <f>$C33*CD33</f>
        <v>11677</v>
      </c>
      <c r="CG33" s="437">
        <f>BY33/CD33</f>
        <v>1.570951443007622</v>
      </c>
      <c r="CH33" s="435">
        <v>470</v>
      </c>
      <c r="CI33" s="436"/>
      <c r="CJ33" s="438">
        <f>$C33*CH33</f>
        <v>470</v>
      </c>
      <c r="CK33" s="435"/>
      <c r="CL33" s="444"/>
      <c r="CM33" s="445"/>
      <c r="CN33" s="435"/>
      <c r="CO33" s="444"/>
      <c r="CP33" s="445"/>
      <c r="CQ33" s="435">
        <v>131845</v>
      </c>
      <c r="CR33" s="436"/>
      <c r="CS33" s="438">
        <f>$C33*CQ33</f>
        <v>131845</v>
      </c>
      <c r="CT33" s="435">
        <v>3835</v>
      </c>
      <c r="CU33" s="436"/>
      <c r="CV33" s="438">
        <f>$C33*CT33</f>
        <v>3835</v>
      </c>
      <c r="CW33" s="435">
        <v>238074</v>
      </c>
      <c r="CX33" s="436"/>
      <c r="CY33" s="438">
        <f t="shared" si="16"/>
        <v>238074</v>
      </c>
      <c r="CZ33" s="446">
        <v>51.3</v>
      </c>
      <c r="DA33" s="436">
        <v>3186</v>
      </c>
      <c r="DB33" s="447">
        <f t="shared" si="17"/>
        <v>74.75633528265108</v>
      </c>
      <c r="DC33" s="296">
        <f t="shared" si="23"/>
        <v>0</v>
      </c>
      <c r="DD33" s="296">
        <f t="shared" si="24"/>
        <v>74.75633528265108</v>
      </c>
    </row>
    <row r="34" spans="1:110" ht="15.75" thickBot="1">
      <c r="A34" s="302" t="s">
        <v>192</v>
      </c>
      <c r="B34" s="362">
        <v>1</v>
      </c>
      <c r="C34" s="364">
        <v>1</v>
      </c>
      <c r="D34" s="451">
        <v>62.820512820512825</v>
      </c>
      <c r="E34" s="409">
        <v>1907411</v>
      </c>
      <c r="F34" s="407">
        <f t="shared" si="0"/>
        <v>1907411</v>
      </c>
      <c r="G34" s="407">
        <f t="shared" si="1"/>
        <v>1907411</v>
      </c>
      <c r="H34" s="452">
        <f>913/2112</f>
        <v>0.4322916666666667</v>
      </c>
      <c r="I34" s="486">
        <f>$B34*H34</f>
        <v>0.4322916666666667</v>
      </c>
      <c r="J34" s="486">
        <f>$C34*H34</f>
        <v>0.4322916666666667</v>
      </c>
      <c r="K34" s="409">
        <v>40684</v>
      </c>
      <c r="L34" s="407">
        <f>$B34*K34</f>
        <v>40684</v>
      </c>
      <c r="M34" s="412">
        <f>$C34*K34</f>
        <v>40684</v>
      </c>
      <c r="N34" s="409">
        <v>28467289</v>
      </c>
      <c r="O34" s="407">
        <f>$B34*N34</f>
        <v>28467289</v>
      </c>
      <c r="P34" s="407">
        <f>$C34*N34</f>
        <v>28467289</v>
      </c>
      <c r="Q34" s="452">
        <f>7.23/28.4</f>
        <v>0.25457746478873244</v>
      </c>
      <c r="R34" s="486">
        <f>$B34*Q34</f>
        <v>0.25457746478873244</v>
      </c>
      <c r="S34" s="486">
        <f>$C34*Q34</f>
        <v>0.25457746478873244</v>
      </c>
      <c r="T34" s="409">
        <v>493300</v>
      </c>
      <c r="U34" s="407">
        <f>$B34*T34</f>
        <v>493300</v>
      </c>
      <c r="V34" s="412">
        <f t="shared" si="64"/>
        <v>493300</v>
      </c>
      <c r="W34" s="453">
        <v>700000</v>
      </c>
      <c r="X34" s="407">
        <f>$B34*W34</f>
        <v>700000</v>
      </c>
      <c r="Y34" s="412">
        <f>$C34*W34</f>
        <v>700000</v>
      </c>
      <c r="Z34" s="486">
        <f t="shared" si="30"/>
        <v>1.4190147982971821</v>
      </c>
      <c r="AA34" s="409">
        <v>179972</v>
      </c>
      <c r="AB34" s="407">
        <f>$B34*AA34</f>
        <v>179972</v>
      </c>
      <c r="AC34" s="407">
        <f>$C34*AA34</f>
        <v>179972</v>
      </c>
      <c r="AD34" s="454">
        <v>0.0001</v>
      </c>
      <c r="AE34" s="454">
        <f>$B34*AD34</f>
        <v>0.0001</v>
      </c>
      <c r="AF34" s="454">
        <f>$C34*AD34</f>
        <v>0.0001</v>
      </c>
      <c r="AG34" s="408">
        <f>(8569+314)/179972</f>
        <v>0.0493576778610006</v>
      </c>
      <c r="AH34" s="495">
        <f>$B34*AG34</f>
        <v>0.0493576778610006</v>
      </c>
      <c r="AI34" s="495">
        <f t="shared" si="65"/>
        <v>0.0493576778610006</v>
      </c>
      <c r="AJ34" s="409">
        <v>5242</v>
      </c>
      <c r="AK34" s="407">
        <f>$B34*AJ34</f>
        <v>5242</v>
      </c>
      <c r="AL34" s="407">
        <f>$C34*AJ34</f>
        <v>5242</v>
      </c>
      <c r="AM34" s="409">
        <v>68000</v>
      </c>
      <c r="AN34" s="407">
        <f>$B34*AM34</f>
        <v>68000</v>
      </c>
      <c r="AO34" s="412">
        <f>$C34*AM34</f>
        <v>68000</v>
      </c>
      <c r="AP34" s="486">
        <f t="shared" si="7"/>
        <v>12.972148035101107</v>
      </c>
      <c r="AQ34" s="407">
        <v>465473</v>
      </c>
      <c r="AR34" s="407">
        <f>$B34*AQ34</f>
        <v>465473</v>
      </c>
      <c r="AS34" s="407">
        <f>$C34*AQ34</f>
        <v>465473</v>
      </c>
      <c r="AT34" s="408">
        <f>(205325+18471)/3652061</f>
        <v>0.061279370744355036</v>
      </c>
      <c r="AU34" s="495">
        <f>$B34*AT34</f>
        <v>0.061279370744355036</v>
      </c>
      <c r="AV34" s="495">
        <f>$C34*AT34</f>
        <v>0.061279370744355036</v>
      </c>
      <c r="AW34" s="409">
        <v>31145</v>
      </c>
      <c r="AX34" s="410">
        <f>$B34*AW34</f>
        <v>31145</v>
      </c>
      <c r="AY34" s="411">
        <f>$C34*AW34</f>
        <v>31145</v>
      </c>
      <c r="AZ34" s="409">
        <v>1776</v>
      </c>
      <c r="BA34" s="407">
        <f>$B34*AZ34</f>
        <v>1776</v>
      </c>
      <c r="BB34" s="412">
        <f>$C34*AZ34</f>
        <v>1776</v>
      </c>
      <c r="BC34" s="409">
        <v>168000</v>
      </c>
      <c r="BD34" s="407">
        <f>$B34*BC34</f>
        <v>168000</v>
      </c>
      <c r="BE34" s="412">
        <f>$C34*BC34</f>
        <v>168000</v>
      </c>
      <c r="BF34" s="486">
        <f t="shared" si="18"/>
        <v>5.394124257505218</v>
      </c>
      <c r="BG34" s="409">
        <v>708369</v>
      </c>
      <c r="BH34" s="407">
        <f>$B34*BG34</f>
        <v>708369</v>
      </c>
      <c r="BI34" s="412">
        <f>$C34*BG34</f>
        <v>708369</v>
      </c>
      <c r="BJ34" s="409"/>
      <c r="BK34" s="413"/>
      <c r="BL34" s="414"/>
      <c r="BM34" s="530">
        <v>110750</v>
      </c>
      <c r="BN34" s="407">
        <f>$B34*BM34</f>
        <v>110750</v>
      </c>
      <c r="BO34" s="407">
        <f>$C34*BM34</f>
        <v>110750</v>
      </c>
      <c r="BP34" s="453"/>
      <c r="BQ34" s="407"/>
      <c r="BR34" s="407"/>
      <c r="BS34" s="575"/>
      <c r="BT34" s="575"/>
      <c r="BU34" s="569">
        <v>56381</v>
      </c>
      <c r="BV34" s="407">
        <f>$B34*BU34</f>
        <v>56381</v>
      </c>
      <c r="BW34" s="407">
        <f>$C34*BU34</f>
        <v>56381</v>
      </c>
      <c r="BX34" s="452"/>
      <c r="BY34" s="453"/>
      <c r="BZ34" s="407"/>
      <c r="CA34" s="407"/>
      <c r="CB34" s="575"/>
      <c r="CC34" s="575"/>
      <c r="CD34" s="569">
        <v>29430</v>
      </c>
      <c r="CE34" s="413"/>
      <c r="CF34" s="414"/>
      <c r="CG34" s="558"/>
      <c r="CH34" s="409">
        <v>1900</v>
      </c>
      <c r="CI34" s="407">
        <f>$B34*CH34</f>
        <v>1900</v>
      </c>
      <c r="CJ34" s="412">
        <f>$C34*CH34</f>
        <v>1900</v>
      </c>
      <c r="CK34" s="409">
        <v>1446</v>
      </c>
      <c r="CL34" s="415">
        <f>$B34*CK34</f>
        <v>1446</v>
      </c>
      <c r="CM34" s="416">
        <f>$C34*CK34</f>
        <v>1446</v>
      </c>
      <c r="CN34" s="409">
        <v>4290</v>
      </c>
      <c r="CO34" s="407">
        <f>$B34*CN34</f>
        <v>4290</v>
      </c>
      <c r="CP34" s="412">
        <f>$C34*CN34</f>
        <v>4290</v>
      </c>
      <c r="CQ34" s="409">
        <v>156068</v>
      </c>
      <c r="CR34" s="407">
        <f>$B34*CQ34</f>
        <v>156068</v>
      </c>
      <c r="CS34" s="412">
        <f>$C34*CQ34</f>
        <v>156068</v>
      </c>
      <c r="CT34" s="409">
        <v>1960</v>
      </c>
      <c r="CU34" s="407">
        <f>$B34*CT34</f>
        <v>1960</v>
      </c>
      <c r="CV34" s="412">
        <f>$C34*CT34</f>
        <v>1960</v>
      </c>
      <c r="CW34" s="409">
        <v>212710</v>
      </c>
      <c r="CX34" s="407">
        <f>$B34*CW34</f>
        <v>212710</v>
      </c>
      <c r="CY34" s="412">
        <f t="shared" si="16"/>
        <v>212710</v>
      </c>
      <c r="CZ34" s="417">
        <v>31.2</v>
      </c>
      <c r="DA34" s="407">
        <v>3390</v>
      </c>
      <c r="DB34" s="418">
        <f t="shared" si="17"/>
        <v>62.820512820512825</v>
      </c>
      <c r="DC34" s="296">
        <f t="shared" si="23"/>
        <v>62.820512820512825</v>
      </c>
      <c r="DD34" s="296">
        <f t="shared" si="24"/>
        <v>62.820512820512825</v>
      </c>
      <c r="DF34" s="580" t="s">
        <v>335</v>
      </c>
    </row>
    <row r="35" spans="1:111" s="25" customFormat="1" ht="15">
      <c r="A35" s="358" t="s">
        <v>225</v>
      </c>
      <c r="B35" s="365"/>
      <c r="C35" s="356" t="s">
        <v>56</v>
      </c>
      <c r="D35" s="511">
        <f>SUM(D5:D34)</f>
        <v>590.2275253667684</v>
      </c>
      <c r="E35" s="512">
        <f>SUM(E5:E34)</f>
        <v>15454896</v>
      </c>
      <c r="F35" s="366"/>
      <c r="G35" s="366"/>
      <c r="H35" s="367">
        <f>($D5*H5+$D6*H6+$D7*H7+$D8*H8+$D9*H9+$D10*H10+$D11*H11+$D12*H12+$D13*H13+$D14*H14+$D15*H15+$D16*H16+$D17*H17+$D18*H18+$D19*H19+$D20*H20+$D21*H21+$D22*H22+$D23*H23+$D24*H24+$D25*H25+$D26*H26+$D27*H27+$D28*H28+$D29*H29+$D30*H30+$D31*H31+$D32*H32+$D33*H33+$D34*H34)/(IF(H5&gt;0,$D5,0)+IF(H6&gt;0,$D6,0)+IF(H7&gt;0,$D7,0)+IF(H8&gt;0,$D8,0)+IF(H9&gt;0,$D9,0)+IF(H10&gt;0,$D10,0)+IF(H11&gt;0,$D11,0)+IF(H12&gt;0,$D12,0)+IF(H13&gt;0,$D13,0)+IF(H14&gt;0,$D14,0)+IF(H15&gt;0,$D15,0)+IF(H16&gt;0,$D16,0)+IF(H17&gt;0,$D17,0)+IF(H18&gt;0,$D18,0)+IF(H19&gt;0,$D19,0)+IF(H20&gt;0,$D20,0)+IF(H21&gt;0,$D21,0)+IF(H22&gt;0,$D22,0)+IF(H23&gt;0,$D23,0)+IF(H24&gt;0,$D24,0)+IF(H25&gt;0,$D25,0)+IF(H26&gt;0,$D26,0)+IF(H27&gt;0,$D27,0)+IF(H28&gt;0,$D28,0)+IF(H29&gt;0,$D29,0)+IF(H30&gt;0,$D30,0)+IF(H31&gt;0,$D31,0)+IF(H32&gt;0,$D32,0)+IF(H33&gt;0,$D33,0)+IF(H34&gt;0,$D34,0))</f>
        <v>0.5200002719025232</v>
      </c>
      <c r="I35" s="367">
        <f>($D5*I5+$D6*I6+$D7*I7+$D8*I8+$D9*I9+$D10*I10+$D11*I11+$D12*I12+$D13*I13+$D14*I14+$D15*I15+$D16*I16+$D17*I17+$D18*I18+$D19*I19+$D20*I20+$D21*I21+$D22*I22+$D23*I23+$D24*I24+$D25*I25+$D26*I26+$D27*I27+$D28*I28+$D29*I29+$D30*I30+$D31*I31+$D32*I32+$D33*I33+$D34*I34)/(IF(I5&gt;0,$D5,0)+IF(I6&gt;0,$D6,0)+IF(I7&gt;0,$D7,0)+IF(I8&gt;0,$D8,0)+IF(I9&gt;0,$D9,0)+IF(I10&gt;0,$D10,0)+IF(I11&gt;0,$D11,0)+IF(I12&gt;0,$D12,0)+IF(I13&gt;0,$D13,0)+IF(I14&gt;0,$D14,0)+IF(I15&gt;0,$D15,0)+IF(I16&gt;0,$D16,0)+IF(I17&gt;0,$D17,0)+IF(I18&gt;0,$D18,0)+IF(I19&gt;0,$D19,0)+IF(I20&gt;0,$D20,0)+IF(I21&gt;0,$D21,0)+IF(I22&gt;0,$D22,0)+IF(I23&gt;0,$D23,0)+IF(I24&gt;0,$D24,0)+IF(I25&gt;0,$D25,0)+IF(I26&gt;0,$D26,0)+IF(I27&gt;0,$D27,0)+IF(I28&gt;0,$D28,0)+IF(I29&gt;0,$D29,0)+IF(I30&gt;0,$D30,0)+IF(I31&gt;0,$D31,0)+IF(I32&gt;0,$D32,0)+IF(I33&gt;0,$D33,0)+IF(I34&gt;0,$D34,0))</f>
        <v>0.5297826497195136</v>
      </c>
      <c r="J35" s="367">
        <f>($D5*J5+$D6*J6+$D7*J7+$D8*J8+$D9*J9+$D10*J10+$D11*J11+$D12*J12+$D13*J13+$D14*J14+$D15*J15+$D16*J16+$D17*J17+$D18*J18+$D19*J19+$D20*J20+$D21*J21+$D22*J22+$D23*J23+$D24*J24+$D25*J25+$D26*J26+$D27*J27+$D28*J28+$D29*J29+$D30*J30+$D31*J31+$D32*J32+$D33*J33+$D34*J34)/(IF(J5&gt;0,$D5,0)+IF(J6&gt;0,$D6,0)+IF(J7&gt;0,$D7,0)+IF(J8&gt;0,$D8,0)+IF(J9&gt;0,$D9,0)+IF(J10&gt;0,$D10,0)+IF(J11&gt;0,$D11,0)+IF(J12&gt;0,$D12,0)+IF(J13&gt;0,$D13,0)+IF(J14&gt;0,$D14,0)+IF(J15&gt;0,$D15,0)+IF(J16&gt;0,$D16,0)+IF(J17&gt;0,$D17,0)+IF(J18&gt;0,$D18,0)+IF(J19&gt;0,$D19,0)+IF(J20&gt;0,$D20,0)+IF(J21&gt;0,$D21,0)+IF(J22&gt;0,$D22,0)+IF(J23&gt;0,$D23,0)+IF(J24&gt;0,$D24,0)+IF(J25&gt;0,$D25,0)+IF(J26&gt;0,$D26,0)+IF(J27&gt;0,$D27,0)+IF(J28&gt;0,$D28,0)+IF(J29&gt;0,$D29,0)+IF(J30&gt;0,$D30,0)+IF(J31&gt;0,$D31,0)+IF(J32&gt;0,$D32,0)+IF(J33&gt;0,$D33,0)+IF(J34&gt;0,$D34,0))</f>
        <v>0.5274441223874629</v>
      </c>
      <c r="K35" s="512">
        <f>SUM(K5:K34)</f>
        <v>2724846</v>
      </c>
      <c r="L35" s="512"/>
      <c r="M35" s="512"/>
      <c r="N35" s="512">
        <f>SUM(N5:N34)</f>
        <v>255870781</v>
      </c>
      <c r="O35" s="366"/>
      <c r="P35" s="366"/>
      <c r="Q35" s="368">
        <f>($D5*Q5+$D6*Q6+$D7*Q7+$D8*Q8+$D9*Q9+$D10*Q10+$D11*Q11+$D12*Q12+$D13*Q13+$D14*Q14+$D15*Q15+$D16*Q16+$D17*Q17+$D18*Q18+$D19*Q19+$D20*Q20+$D21*Q21+$D22*Q22+$D23*Q23+$D24*Q24+$D25*Q25+$D26*Q26+$D27*Q27+$D28*Q28+$D29*Q29+$D30*Q30+$D31*Q31+$D32*Q32+$D33*Q33+$D34*Q34)/(IF(Q5&gt;0,$D5,0)+IF(Q6&gt;0,$D6,0)+IF(Q7&gt;0,$D7,0)+IF(Q8&gt;0,$D8,0)+IF(Q9&gt;0,$D9,0)+IF(Q10&gt;0,$D10,0)+IF(Q11&gt;0,$D11,0)+IF(Q12&gt;0,$D12,0)+IF(Q13&gt;0,$D13,0)+IF(Q14&gt;0,$D14,0)+IF(Q15&gt;0,$D15,0)+IF(Q16&gt;0,$D16,0)+IF(Q17&gt;0,$D17,0)+IF(Q18&gt;0,$D18,0)+IF(Q19&gt;0,$D19,0)+IF(Q20&gt;0,$D20,0)+IF(Q21&gt;0,$D21,0)+IF(Q22&gt;0,$D22,0)+IF(Q23&gt;0,$D23,0)+IF(Q24&gt;0,$D24,0)+IF(Q25&gt;0,$D25,0)+IF(Q26&gt;0,$D26,0)+IF(Q27&gt;0,$D27,0)+IF(Q28&gt;0,$D28,0)+IF(Q29&gt;0,$D29,0)+IF(Q30&gt;0,$D30,0)+IF(Q31&gt;0,$D31,0)+IF(Q32&gt;0,$D32,0)+IF(Q33&gt;0,$D33,0)+IF(Q34&gt;0,$D34,0))</f>
        <v>0.3008482588467625</v>
      </c>
      <c r="R35" s="368">
        <f>($D5*R5+$D6*R6+$D7*R7+$D8*R8+$D9*R9+$D10*R10+$D11*R11+$D12*R12+$D13*R13+$D14*R14+$D15*R15+$D16*R16+$D17*R17+$D18*R18+$D19*R19+$D20*R20+$D21*R21+$D22*R22+$D23*R23+$D24*R24+$D25*R25+$D26*R26+$D27*R27+$D28*R28+$D29*R29+$D30*R30+$D31*R31+$D32*R32+$D33*R33+$D34*R34)/(IF(R5&gt;0,$D5,0)+IF(R6&gt;0,$D6,0)+IF(R7&gt;0,$D7,0)+IF(R8&gt;0,$D8,0)+IF(R9&gt;0,$D9,0)+IF(R10&gt;0,$D10,0)+IF(R11&gt;0,$D11,0)+IF(R12&gt;0,$D12,0)+IF(R13&gt;0,$D13,0)+IF(R14&gt;0,$D14,0)+IF(R15&gt;0,$D15,0)+IF(R16&gt;0,$D16,0)+IF(R17&gt;0,$D17,0)+IF(R18&gt;0,$D18,0)+IF(R19&gt;0,$D19,0)+IF(R20&gt;0,$D20,0)+IF(R21&gt;0,$D21,0)+IF(R22&gt;0,$D22,0)+IF(R23&gt;0,$D23,0)+IF(R24&gt;0,$D24,0)+IF(R25&gt;0,$D25,0)+IF(R26&gt;0,$D26,0)+IF(R27&gt;0,$D27,0)+IF(R28&gt;0,$D28,0)+IF(R29&gt;0,$D29,0)+IF(R30&gt;0,$D30,0)+IF(R31&gt;0,$D31,0)+IF(R32&gt;0,$D32,0)+IF(R33&gt;0,$D33,0)+IF(R34&gt;0,$D34,0))</f>
        <v>0.3298677543402582</v>
      </c>
      <c r="S35" s="368">
        <f>($D5*S5+$D6*S6+$D7*S7+$D8*S8+$D9*S9+$D10*S10+$D11*S11+$D12*S12+$D13*S13+$D14*S14+$D15*S15+$D16*S16+$D17*S17+$D18*S18+$D19*S19+$D20*S20+$D21*S21+$D22*S22+$D23*S23+$D24*S24+$D25*S25+$D26*S26+$D27*S27+$D28*S28+$D29*S29+$D30*S30+$D31*S31+$D32*S32+$D33*S33+$D34*S34)/(IF(S5&gt;0,$D5,0)+IF(S6&gt;0,$D6,0)+IF(S7&gt;0,$D7,0)+IF(S8&gt;0,$D8,0)+IF(S9&gt;0,$D9,0)+IF(S10&gt;0,$D10,0)+IF(S11&gt;0,$D11,0)+IF(S12&gt;0,$D12,0)+IF(S13&gt;0,$D13,0)+IF(S14&gt;0,$D14,0)+IF(S15&gt;0,$D15,0)+IF(S16&gt;0,$D16,0)+IF(S17&gt;0,$D17,0)+IF(S18&gt;0,$D18,0)+IF(S19&gt;0,$D19,0)+IF(S20&gt;0,$D20,0)+IF(S21&gt;0,$D21,0)+IF(S22&gt;0,$D22,0)+IF(S23&gt;0,$D23,0)+IF(S24&gt;0,$D24,0)+IF(S25&gt;0,$D25,0)+IF(S26&gt;0,$D26,0)+IF(S27&gt;0,$D27,0)+IF(S28&gt;0,$D28,0)+IF(S29&gt;0,$D29,0)+IF(S30&gt;0,$D30,0)+IF(S31&gt;0,$D31,0)+IF(S32&gt;0,$D32,0)+IF(S33&gt;0,$D33,0)+IF(S34&gt;0,$D34,0))</f>
        <v>0.3024649958300573</v>
      </c>
      <c r="T35" s="366">
        <f>T$38*$D35</f>
        <v>3297017.3259458863</v>
      </c>
      <c r="U35" s="366"/>
      <c r="V35" s="366"/>
      <c r="W35" s="374">
        <f>W$38*$D35</f>
        <v>5736091.507281899</v>
      </c>
      <c r="X35" s="366"/>
      <c r="Y35" s="366"/>
      <c r="Z35" s="368">
        <f>($D5*Z5+$D6*Z6+$D7*Z7+$D8*Z8+$D9*Z9+$D10*Z10+$D11*Z11+$D12*Z12+$D13*Z13+$D14*Z14+$D15*Z15+$D16*Z16+$D17*Z17+$D18*Z18+$D19*Z19+$D20*Z20+$D21*Z21+$D22*Z22+$D23*Z23+$D24*Z24+$D25*Z25+$D26*Z26+$D27*Z27+$D28*Z28+$D29*Z29+$D30*Z30+$D31*Z31+$D32*Z32+$D33*Z33+$D34*Z34)/(IF(Z5&gt;0,$D5,0)+IF(Z6&gt;0,$D6,0)+IF(Z7&gt;0,$D7,0)+IF(Z8&gt;0,$D8,0)+IF(Z9&gt;0,$D9,0)+IF(Z10&gt;0,$D10,0)+IF(Z11&gt;0,$D11,0)+IF(Z12&gt;0,$D12,0)+IF(Z13&gt;0,$D13,0)+IF(Z14&gt;0,$D14,0)+IF(Z15&gt;0,$D15,0)+IF(Z16&gt;0,$D16,0)+IF(Z17&gt;0,$D17,0)+IF(Z18&gt;0,$D18,0)+IF(Z19&gt;0,$D19,0)+IF(Z20&gt;0,$D20,0)+IF(Z21&gt;0,$D21,0)+IF(Z22&gt;0,$D22,0)+IF(Z23&gt;0,$D23,0)+IF(Z24&gt;0,$D24,0)+IF(Z25&gt;0,$D25,0)+IF(Z26&gt;0,$D26,0)+IF(Z27&gt;0,$D27,0)+IF(Z28&gt;0,$D28,0)+IF(Z29&gt;0,$D29,0)+IF(Z30&gt;0,$D30,0)+IF(Z31&gt;0,$D31,0)+IF(Z32&gt;0,$D32,0)+IF(Z33&gt;0,$D33,0)+IF(Z34&gt;0,$D34,0))</f>
        <v>1.5347008160287905</v>
      </c>
      <c r="AA35" s="512">
        <f>AA$38*$D35</f>
        <v>1534978.9999999998</v>
      </c>
      <c r="AB35" s="366"/>
      <c r="AC35" s="366"/>
      <c r="AD35" s="496">
        <f aca="true" t="shared" si="66" ref="AD35:AI35">($D5*AD5+$D6*AD6+$D7*AD7+$D8*AD8+$D9*AD9+$D10*AD10+$D11*AD11+$D12*AD12+$D13*AD13+$D14*AD14+$D15*AD15+$D16*AD16+$D17*AD17+$D18*AD18+$D19*AD19+$D20*AD20+$D21*AD21+$D22*AD22+$D23*AD23+$D24*AD24+$D25*AD25+$D26*AD26+$D27*AD27+$D28*AD28+$D29*AD29+$D30*AD30+$D31*AD31+$D32*AD32+$D33*AD33+$D34*AD34)/(IF(AD5&gt;0,$D5,0)+IF(AD6&gt;0,$D6,0)+IF(AD7&gt;0,$D7,0)+IF(AD8&gt;0,$D8,0)+IF(AD9&gt;0,$D9,0)+IF(AD10&gt;0,$D10,0)+IF(AD11&gt;0,$D11,0)+IF(AD12&gt;0,$D12,0)+IF(AD13&gt;0,$D13,0)+IF(AD14&gt;0,$D14,0)+IF(AD15&gt;0,$D15,0)+IF(AD16&gt;0,$D16,0)+IF(AD17&gt;0,$D17,0)+IF(AD18&gt;0,$D18,0)+IF(AD19&gt;0,$D19,0)+IF(AD20&gt;0,$D20,0)+IF(AD21&gt;0,$D21,0)+IF(AD22&gt;0,$D22,0)+IF(AD23&gt;0,$D23,0)+IF(AD24&gt;0,$D24,0)+IF(AD25&gt;0,$D25,0)+IF(AD26&gt;0,$D26,0)+IF(AD27&gt;0,$D27,0)+IF(AD28&gt;0,$D28,0)+IF(AD29&gt;0,$D29,0)+IF(AD30&gt;0,$D30,0)+IF(AD31&gt;0,$D31,0)+IF(AD32&gt;0,$D32,0)+IF(AD33&gt;0,$D33,0)+IF(AD34&gt;0,$D34,0))</f>
        <v>0.0038831840009357433</v>
      </c>
      <c r="AE35" s="496">
        <f t="shared" si="66"/>
        <v>0.004003090674508297</v>
      </c>
      <c r="AF35" s="496">
        <f t="shared" si="66"/>
        <v>0.003182428451989174</v>
      </c>
      <c r="AG35" s="367">
        <f t="shared" si="66"/>
        <v>0.04386237228182741</v>
      </c>
      <c r="AH35" s="367">
        <f t="shared" si="66"/>
        <v>0.03797663421319772</v>
      </c>
      <c r="AI35" s="367">
        <f t="shared" si="66"/>
        <v>0.045161181401292556</v>
      </c>
      <c r="AJ35" s="366">
        <f>AJ$38*$D35</f>
        <v>35166.82033849088</v>
      </c>
      <c r="AK35" s="366"/>
      <c r="AL35" s="366"/>
      <c r="AM35" s="366">
        <f>AM$38*$D35</f>
        <v>614803.3087890429</v>
      </c>
      <c r="AN35" s="366"/>
      <c r="AO35" s="366"/>
      <c r="AP35" s="368">
        <f>($D5*AP5+$D6*AP6+$D7*AP7+$D8*AP8+$D9*AP9+$D10*AP10+$D11*AP11+$D12*AP12+$D13*AP13+$D14*AP14+$D15*AP15+$D16*AP16+$D17*AP17+$D18*AP18+$D19*AP19+$D20*AP20+$D21*AP21+$D22*AP22+$D23*AP23+$D24*AP24+$D25*AP25+$D26*AP26+$D27*AP27+$D28*AP28+$D29*AP29+$D30*AP30+$D31*AP31+$D32*AP32+$D33*AP33+$D34*AP34)/(IF(AP5&gt;0,$D5,0)+IF(AP6&gt;0,$D6,0)+IF(AP7&gt;0,$D7,0)+IF(AP8&gt;0,$D8,0)+IF(AP9&gt;0,$D9,0)+IF(AP10&gt;0,$D10,0)+IF(AP11&gt;0,$D11,0)+IF(AP12&gt;0,$D12,0)+IF(AP13&gt;0,$D13,0)+IF(AP14&gt;0,$D14,0)+IF(AP15&gt;0,$D15,0)+IF(AP16&gt;0,$D16,0)+IF(AP17&gt;0,$D17,0)+IF(AP18&gt;0,$D18,0)+IF(AP19&gt;0,$D19,0)+IF(AP20&gt;0,$D20,0)+IF(AP21&gt;0,$D21,0)+IF(AP22&gt;0,$D22,0)+IF(AP23&gt;0,$D23,0)+IF(AP24&gt;0,$D24,0)+IF(AP25&gt;0,$D25,0)+IF(AP26&gt;0,$D26,0)+IF(AP27&gt;0,$D27,0)+IF(AP28&gt;0,$D28,0)+IF(AP29&gt;0,$D29,0)+IF(AP30&gt;0,$D30,0)+IF(AP31&gt;0,$D31,0)+IF(AP32&gt;0,$D32,0)+IF(AP33&gt;0,$D33,0)+IF(AP34&gt;0,$D34,0))</f>
        <v>16.38010846119766</v>
      </c>
      <c r="AQ35" s="512">
        <f>SUM(AQ5:AQ34)</f>
        <v>47825874</v>
      </c>
      <c r="AR35" s="366"/>
      <c r="AS35" s="366"/>
      <c r="AT35" s="368">
        <f>($D5*AT5+$D6*AT6+$D7*AT7+$D8*AT8+$D9*AT9+$D10*AT10+$D11*AT11+$D12*AT12+$D13*AT13+$D14*AT14+$D15*AT15+$D16*AT16+$D17*AT17+$D18*AT18+$D19*AT19+$D20*AT20+$D21*AT21+$D22*AT22+$D23*AT23+$D24*AT24+$D25*AT25+$D26*AT26+$D27*AT27+$D28*AT28+$D29*AT29+$D30*AT30+$D31*AT31+$D32*AT32+$D33*AT33+$D34*AT34)/(IF(AT5&gt;0,$D5,0)+IF(AT6&gt;0,$D6,0)+IF(AT7&gt;0,$D7,0)+IF(AT8&gt;0,$D8,0)+IF(AT9&gt;0,$D9,0)+IF(AT10&gt;0,$D10,0)+IF(AT11&gt;0,$D11,0)+IF(AT12&gt;0,$D12,0)+IF(AT13&gt;0,$D13,0)+IF(AT14&gt;0,$D14,0)+IF(AT15&gt;0,$D15,0)+IF(AT16&gt;0,$D16,0)+IF(AT17&gt;0,$D17,0)+IF(AT18&gt;0,$D18,0)+IF(AT19&gt;0,$D19,0)+IF(AT20&gt;0,$D20,0)+IF(AT21&gt;0,$D21,0)+IF(AT22&gt;0,$D22,0)+IF(AT23&gt;0,$D23,0)+IF(AT24&gt;0,$D24,0)+IF(AT25&gt;0,$D25,0)+IF(AT26&gt;0,$D26,0)+IF(AT27&gt;0,$D27,0)+IF(AT28&gt;0,$D28,0)+IF(AT29&gt;0,$D29,0)+IF(AT30&gt;0,$D30,0)+IF(AT31&gt;0,$D31,0)+IF(AT32&gt;0,$D32,0)+IF(AT33&gt;0,$D33,0)+IF(AT34&gt;0,$D34,0))</f>
        <v>0.1219037545745119</v>
      </c>
      <c r="AU35" s="368">
        <f>($D5*AU5+$D6*AU6+$D7*AU7+$D8*AU8+$D9*AU9+$D10*AU10+$D11*AU11+$D12*AU12+$D13*AU13+$D14*AU14+$D15*AU15+$D16*AU16+$D17*AU17+$D18*AU18+$D19*AU19+$D20*AU20+$D21*AU21+$D22*AU22+$D23*AU23+$D24*AU24+$D25*AU25+$D26*AU26+$D27*AU27+$D28*AU28+$D29*AU29+$D30*AU30+$D31*AU31+$D32*AU32+$D33*AU33+$D34*AU34)/(IF(AU5&gt;0,$D5,0)+IF(AU6&gt;0,$D6,0)+IF(AU7&gt;0,$D7,0)+IF(AU8&gt;0,$D8,0)+IF(AU9&gt;0,$D9,0)+IF(AU10&gt;0,$D10,0)+IF(AU11&gt;0,$D11,0)+IF(AU12&gt;0,$D12,0)+IF(AU13&gt;0,$D13,0)+IF(AU14&gt;0,$D14,0)+IF(AU15&gt;0,$D15,0)+IF(AU16&gt;0,$D16,0)+IF(AU17&gt;0,$D17,0)+IF(AU18&gt;0,$D18,0)+IF(AU19&gt;0,$D19,0)+IF(AU20&gt;0,$D20,0)+IF(AU21&gt;0,$D21,0)+IF(AU22&gt;0,$D22,0)+IF(AU23&gt;0,$D23,0)+IF(AU24&gt;0,$D24,0)+IF(AU25&gt;0,$D25,0)+IF(AU26&gt;0,$D26,0)+IF(AU27&gt;0,$D27,0)+IF(AU28&gt;0,$D28,0)+IF(AU29&gt;0,$D29,0)+IF(AU30&gt;0,$D30,0)+IF(AU31&gt;0,$D31,0)+IF(AU32&gt;0,$D32,0)+IF(AU33&gt;0,$D33,0)+IF(AU34&gt;0,$D34,0))</f>
        <v>0.11920944938676839</v>
      </c>
      <c r="AV35" s="368">
        <f>($D5*AV5+$D6*AV6+$D7*AV7+$D8*AV8+$D9*AV9+$D10*AV10+$D11*AV11+$D12*AV12+$D13*AV13+$D14*AV14+$D15*AV15+$D16*AV16+$D17*AV17+$D18*AV18+$D19*AV19+$D20*AV20+$D21*AV21+$D22*AV22+$D23*AV23+$D24*AV24+$D25*AV25+$D26*AV26+$D27*AV27+$D28*AV28+$D29*AV29+$D30*AV30+$D31*AV31+$D32*AV32+$D33*AV33+$D34*AV34)/(IF(AV5&gt;0,$D5,0)+IF(AV6&gt;0,$D6,0)+IF(AV7&gt;0,$D7,0)+IF(AV8&gt;0,$D8,0)+IF(AV9&gt;0,$D9,0)+IF(AV10&gt;0,$D10,0)+IF(AV11&gt;0,$D11,0)+IF(AV12&gt;0,$D12,0)+IF(AV13&gt;0,$D13,0)+IF(AV14&gt;0,$D14,0)+IF(AV15&gt;0,$D15,0)+IF(AV16&gt;0,$D16,0)+IF(AV17&gt;0,$D17,0)+IF(AV18&gt;0,$D18,0)+IF(AV19&gt;0,$D19,0)+IF(AV20&gt;0,$D20,0)+IF(AV21&gt;0,$D21,0)+IF(AV22&gt;0,$D22,0)+IF(AV23&gt;0,$D23,0)+IF(AV24&gt;0,$D24,0)+IF(AV25&gt;0,$D25,0)+IF(AV26&gt;0,$D26,0)+IF(AV27&gt;0,$D27,0)+IF(AV28&gt;0,$D28,0)+IF(AV29&gt;0,$D29,0)+IF(AV30&gt;0,$D30,0)+IF(AV31&gt;0,$D31,0)+IF(AV32&gt;0,$D32,0)+IF(AV33&gt;0,$D33,0)+IF(AV34&gt;0,$D34,0))</f>
        <v>0.11477642372147827</v>
      </c>
      <c r="AW35" s="366">
        <f>AW$38*$D35</f>
        <v>403474.47930504783</v>
      </c>
      <c r="AX35" s="365"/>
      <c r="AY35" s="365"/>
      <c r="AZ35" s="366">
        <f>AZ$38*$D35</f>
        <v>20171.751356844587</v>
      </c>
      <c r="BA35" s="366"/>
      <c r="BB35" s="366"/>
      <c r="BC35" s="366">
        <f>BC$38*$D35</f>
        <v>2162471.1023421874</v>
      </c>
      <c r="BD35" s="366"/>
      <c r="BE35" s="366"/>
      <c r="BF35" s="368">
        <f>($D5*BF5+$D6*BF6+$D7*BF7+$D8*BF8+$D9*BF9+$D10*BF10+$D11*BF11+$D12*BF12+$D13*BF13+$D14*BF14+$D15*BF15+$D16*BF16+$D17*BF17+$D18*BF18+$D19*BF19+$D20*BF20+$D21*BF21+$D22*BF22+$D23*BF23+$D24*BF24+$D25*BF25+$D26*BF26+$D27*BF27+$D28*BF28+$D29*BF29+$D30*BF30+$D31*BF31+$D32*BF32+$D33*BF33+$D34*BF34)/(IF(BF5&gt;0,$D5,0)+IF(BF6&gt;0,$D6,0)+IF(BF7&gt;0,$D7,0)+IF(BF8&gt;0,$D8,0)+IF(BF9&gt;0,$D9,0)+IF(BF10&gt;0,$D10,0)+IF(BF11&gt;0,$D11,0)+IF(BF12&gt;0,$D12,0)+IF(BF13&gt;0,$D13,0)+IF(BF14&gt;0,$D14,0)+IF(BF15&gt;0,$D15,0)+IF(BF16&gt;0,$D16,0)+IF(BF17&gt;0,$D17,0)+IF(BF18&gt;0,$D18,0)+IF(BF19&gt;0,$D19,0)+IF(BF20&gt;0,$D20,0)+IF(BF21&gt;0,$D21,0)+IF(BF22&gt;0,$D22,0)+IF(BF23&gt;0,$D23,0)+IF(BF24&gt;0,$D24,0)+IF(BF25&gt;0,$D25,0)+IF(BF26&gt;0,$D26,0)+IF(BF27&gt;0,$D27,0)+IF(BF28&gt;0,$D28,0)+IF(BF29&gt;0,$D29,0)+IF(BF30&gt;0,$D30,0)+IF(BF31&gt;0,$D31,0)+IF(BF32&gt;0,$D32,0)+IF(BF33&gt;0,$D33,0)+IF(BF34&gt;0,$D34,0))</f>
        <v>6.238310053482961</v>
      </c>
      <c r="BG35" s="366">
        <f>BG$38*$D35</f>
        <v>5031231.867116974</v>
      </c>
      <c r="BH35" s="366"/>
      <c r="BI35" s="366"/>
      <c r="BJ35" s="366">
        <f>BJ$38*$D35</f>
        <v>2154840.3321972205</v>
      </c>
      <c r="BK35" s="369"/>
      <c r="BL35" s="369"/>
      <c r="BM35" s="366">
        <f>BM$38*$D35</f>
        <v>914637</v>
      </c>
      <c r="BN35" s="366"/>
      <c r="BO35" s="366"/>
      <c r="BP35" s="366">
        <f>BP$38*$D35</f>
        <v>761620.4877586095</v>
      </c>
      <c r="BQ35" s="366"/>
      <c r="BR35" s="366"/>
      <c r="BS35" s="366">
        <f aca="true" t="shared" si="67" ref="BS35:BT37">BS$38*$D35</f>
        <v>646842.4136116043</v>
      </c>
      <c r="BT35" s="366">
        <f t="shared" si="67"/>
        <v>102238.01677893387</v>
      </c>
      <c r="BU35" s="366">
        <f>BU$38*$D35</f>
        <v>436379.4851783111</v>
      </c>
      <c r="BV35" s="366"/>
      <c r="BW35" s="366"/>
      <c r="BX35" s="368">
        <f>($D5*BX5+$D6*BX6+$D7*BX7+$D8*BX8+$D9*BX9+$D10*BX10+$D11*BX11+$D12*BX12+$D13*BX13+$D14*BX14+$D15*BX15+$D16*BX16+$D17*BX17+$D18*BX18+$D19*BX19+$D20*BX20+$D21*BX21+$D22*BX22+$D23*BX23+$D24*BX24+$D25*BX25+$D26*BX26+$D27*BX27+$D28*BX28+$D29*BX29+$D30*BX30+$D31*BX31+$D32*BX32+$D33*BX33+$D34*BX34)/(IF(BX5&gt;0,$D5,0)+IF(BX6&gt;0,$D6,0)+IF(BX7&gt;0,$D7,0)+IF(BX8&gt;0,$D8,0)+IF(BX9&gt;0,$D9,0)+IF(BX10&gt;0,$D10,0)+IF(BX11&gt;0,$D11,0)+IF(BX12&gt;0,$D12,0)+IF(BX13&gt;0,$D13,0)+IF(BX14&gt;0,$D14,0)+IF(BX15&gt;0,$D15,0)+IF(BX16&gt;0,$D16,0)+IF(BX17&gt;0,$D17,0)+IF(BX18&gt;0,$D18,0)+IF(BX19&gt;0,$D19,0)+IF(BX20&gt;0,$D20,0)+IF(BX21&gt;0,$D21,0)+IF(BX22&gt;0,$D22,0)+IF(BX23&gt;0,$D23,0)+IF(BX24&gt;0,$D24,0)+IF(BX25&gt;0,$D25,0)+IF(BX26&gt;0,$D26,0)+IF(BX27&gt;0,$D27,0)+IF(BX28&gt;0,$D28,0)+IF(BX29&gt;0,$D29,0)+IF(BX30&gt;0,$D30,0)+IF(BX31&gt;0,$D31,0)+IF(BX32&gt;0,$D32,0)+IF(BX33&gt;0,$D33,0)+IF(BX34&gt;0,$D34,0))</f>
        <v>1.8325181803183286</v>
      </c>
      <c r="BY35" s="366">
        <f>BY$38*$D35</f>
        <v>934167.0087431486</v>
      </c>
      <c r="BZ35" s="366"/>
      <c r="CA35" s="366"/>
      <c r="CB35" s="366">
        <f aca="true" t="shared" si="68" ref="CB35:CC37">CB$38*$D35</f>
        <v>692570.4075376622</v>
      </c>
      <c r="CC35" s="366">
        <f t="shared" si="68"/>
        <v>248270.4990937482</v>
      </c>
      <c r="CD35" s="366">
        <f>CD$38*$D35</f>
        <v>461978.4801521418</v>
      </c>
      <c r="CE35" s="369"/>
      <c r="CF35" s="369"/>
      <c r="CG35" s="536">
        <f>($D5*CG5+$D6*CG6+$D7*CG7+$D8*CG8+$D9*CG9+$D10*CG10+$D11*CG11+$D12*CG12+$D13*CG13+$D14*CG14+$D15*CG15+$D16*CG16+$D17*CG17+$D18*CG18+$D19*CG19+$D20*CG20+$D21*CG21+$D22*CG22+$D23*CG23+$D24*CG24+$D25*CG25+$D26*CG26+$D27*CG27+$D28*CG28+$D29*CG29+$D30*CG30+$D31*CG31+$D32*CG32+$D33*CG33+$D34*CG34)/(IF(CG5&gt;0,$D5,0)+IF(CG6&gt;0,$D6,0)+IF(CG7&gt;0,$D7,0)+IF(CG8&gt;0,$D8,0)+IF(CG9&gt;0,$D9,0)+IF(CG10&gt;0,$D10,0)+IF(CG11&gt;0,$D11,0)+IF(CG12&gt;0,$D12,0)+IF(CG13&gt;0,$D13,0)+IF(CG14&gt;0,$D14,0)+IF(CG15&gt;0,$D15,0)+IF(CG16&gt;0,$D16,0)+IF(CG17&gt;0,$D17,0)+IF(CG18&gt;0,$D18,0)+IF(CG19&gt;0,$D19,0)+IF(CG20&gt;0,$D20,0)+IF(CG21&gt;0,$D21,0)+IF(CG22&gt;0,$D22,0)+IF(CG23&gt;0,$D23,0)+IF(CG24&gt;0,$D24,0)+IF(CG25&gt;0,$D25,0)+IF(CG26&gt;0,$D26,0)+IF(CG27&gt;0,$D27,0)+IF(CG28&gt;0,$D28,0)+IF(CG29&gt;0,$D29,0)+IF(CG30&gt;0,$D30,0)+IF(CG31&gt;0,$D31,0)+IF(CG32&gt;0,$D32,0)+IF(CG33&gt;0,$D33,0)+IF(CG34&gt;0,$D34,0))</f>
        <v>2.0971544914676032</v>
      </c>
      <c r="CH35" s="366">
        <f>CH$38*$D35</f>
        <v>9407.6917993349</v>
      </c>
      <c r="CI35" s="366"/>
      <c r="CJ35" s="366"/>
      <c r="CK35" s="366">
        <f>CK$38*$D35</f>
        <v>255926.5180195183</v>
      </c>
      <c r="CL35" s="370"/>
      <c r="CM35" s="370"/>
      <c r="CN35" s="366">
        <f>CN$38*$D35</f>
        <v>18769.24294252705</v>
      </c>
      <c r="CO35" s="366"/>
      <c r="CP35" s="366"/>
      <c r="CQ35" s="366">
        <f>CQ$38*$D35</f>
        <v>1257083.9403544278</v>
      </c>
      <c r="CR35" s="366"/>
      <c r="CS35" s="366"/>
      <c r="CT35" s="512">
        <f>SUM(CT5:CT34)</f>
        <v>34269</v>
      </c>
      <c r="CU35" s="366"/>
      <c r="CV35" s="366"/>
      <c r="CW35" s="366">
        <f>CW$38*$D35</f>
        <v>1561334.0900620106</v>
      </c>
      <c r="CX35" s="366"/>
      <c r="CY35" s="366"/>
      <c r="CZ35" s="371">
        <f>($D5*CZ5+$D6*CZ6+$D7*CZ7+$D8*CZ8+$D9*CZ9+$D10*CZ10+$D11*CZ11+$D12*CZ12+$D13*CZ13+$D14*CZ14+$D15*CZ15+$D16*CZ16+$D17*CZ17+$D18*CZ18+$D19*CZ19+$D20*CZ20+$D21*CZ21+$D22*CZ22+$D23*CZ23+$D24*CZ24+$D25*CZ25+$D26*CZ26+$D27*CZ27+$D28*CZ28+$D29*CZ29+$D30*CZ30+$D31*CZ31+$D32*CZ32+$D33*CZ33+$D34*CZ34)/(IF(CZ5&gt;0,$D5,0)+IF(CZ6&gt;0,$D6,0)+IF(CZ7&gt;0,$D7,0)+IF(CZ8&gt;0,$D8,0)+IF(CZ9&gt;0,$D9,0)+IF(CZ10&gt;0,$D10,0)+IF(CZ11&gt;0,$D11,0)+IF(CZ12&gt;0,$D12,0)+IF(CZ13&gt;0,$D13,0)+IF(CZ14&gt;0,$D14,0)+IF(CZ15&gt;0,$D15,0)+IF(CZ16&gt;0,$D16,0)+IF(CZ17&gt;0,$D17,0)+IF(CZ18&gt;0,$D18,0)+IF(CZ19&gt;0,$D19,0)+IF(CZ20&gt;0,$D20,0)+IF(CZ21&gt;0,$D21,0)+IF(CZ22&gt;0,$D22,0)+IF(CZ23&gt;0,$D23,0)+IF(CZ24&gt;0,$D24,0)+IF(CZ25&gt;0,$D25,0)+IF(CZ26&gt;0,$D26,0)+IF(CZ27&gt;0,$D27,0)+IF(CZ28&gt;0,$D28,0)+IF(CZ29&gt;0,$D29,0)+IF(CZ30&gt;0,$D30,0)+IF(CZ31&gt;0,$D31,0)+IF(CZ32&gt;0,$D32,0)+IF(CZ33&gt;0,$D33,0)+IF(CZ34&gt;0,$D34,0))</f>
        <v>58.060321701712084</v>
      </c>
      <c r="DA35" s="366">
        <f>($D5*DA5+$D6*DA6+$D7*DA7+$D8*DA8+$D9*DA9+$D10*DA10+$D11*DA11+$D12*DA12+$D13*DA13+$D14*DA14+$D15*DA15+$D16*DA16+$D17*DA17+$D18*DA18+$D19*DA19+$D20*DA20+$D21*DA21+$D22*DA22+$D23*DA23+$D24*DA24+$D25*DA25+$D26*DA26+$D27*DA27+$D28*DA28+$D29*DA29+$D30*DA30+$D31*DA31+$D32*DA32+$D33*DA33+$D34*DA34)/(IF(DA5&gt;0,$D5,0)+IF(DA6&gt;0,$D6,0)+IF(DA7&gt;0,$D7,0)+IF(DA8&gt;0,$D8,0)+IF(DA9&gt;0,$D9,0)+IF(DA10&gt;0,$D10,0)+IF(DA11&gt;0,$D11,0)+IF(DA12&gt;0,$D12,0)+IF(DA13&gt;0,$D13,0)+IF(DA14&gt;0,$D14,0)+IF(DA15&gt;0,$D15,0)+IF(DA16&gt;0,$D16,0)+IF(DA17&gt;0,$D17,0)+IF(DA18&gt;0,$D18,0)+IF(DA19&gt;0,$D19,0)+IF(DA20&gt;0,$D20,0)+IF(DA21&gt;0,$D21,0)+IF(DA22&gt;0,$D22,0)+IF(DA23&gt;0,$D23,0)+IF(DA24&gt;0,$D24,0)+IF(DA25&gt;0,$D25,0)+IF(DA26&gt;0,$D26,0)+IF(DA27&gt;0,$D27,0)+IF(DA28&gt;0,$D28,0)+IF(DA29&gt;0,$D29,0)+IF(DA30&gt;0,$D30,0)+IF(DA31&gt;0,$D31,0)+IF(DA32&gt;0,$D32,0)+IF(DA33&gt;0,$D33,0)+IF(DA34&gt;0,$D34,0))</f>
        <v>2645.6589532790144</v>
      </c>
      <c r="DB35" s="372"/>
      <c r="DC35" s="373"/>
      <c r="DE35" s="807" t="s">
        <v>332</v>
      </c>
      <c r="DF35" s="315">
        <f>1000*CH35/(BT35+CC35)</f>
        <v>26.840123344541304</v>
      </c>
      <c r="DG35" s="589" t="s">
        <v>272</v>
      </c>
    </row>
    <row r="36" spans="1:111" ht="15">
      <c r="A36" s="360" t="s">
        <v>226</v>
      </c>
      <c r="B36" s="340"/>
      <c r="C36" s="355" t="s">
        <v>223</v>
      </c>
      <c r="D36" s="513">
        <f>SUM(DC5:DC34)</f>
        <v>502.59736318382437</v>
      </c>
      <c r="E36" s="514">
        <f>SUM(F5:F34)</f>
        <v>14356141</v>
      </c>
      <c r="F36" s="294"/>
      <c r="G36" s="294"/>
      <c r="H36" s="327">
        <f>I35</f>
        <v>0.5297826497195136</v>
      </c>
      <c r="I36" s="327"/>
      <c r="J36" s="327"/>
      <c r="K36" s="514">
        <f>SUM(L5:L34)</f>
        <v>2304992</v>
      </c>
      <c r="L36" s="514"/>
      <c r="M36" s="514"/>
      <c r="N36" s="514">
        <f>SUM(O5:O34)</f>
        <v>241218241</v>
      </c>
      <c r="O36" s="294"/>
      <c r="P36" s="294"/>
      <c r="Q36" s="315">
        <f>R35</f>
        <v>0.3298677543402582</v>
      </c>
      <c r="R36" s="315"/>
      <c r="S36" s="315"/>
      <c r="T36" s="294">
        <f>U$38*$D36</f>
        <v>3285102.115789297</v>
      </c>
      <c r="U36" s="294"/>
      <c r="V36" s="294"/>
      <c r="W36" s="312">
        <f>X$38*$D36</f>
        <v>4848227.996388588</v>
      </c>
      <c r="X36" s="294"/>
      <c r="Y36" s="294"/>
      <c r="Z36" s="804">
        <f>Z35</f>
        <v>1.5347008160287905</v>
      </c>
      <c r="AA36" s="514">
        <f>AB$38*$D36</f>
        <v>879667.7560964028</v>
      </c>
      <c r="AB36" s="294"/>
      <c r="AC36" s="294"/>
      <c r="AD36" s="497">
        <f>AE35</f>
        <v>0.004003090674508297</v>
      </c>
      <c r="AE36" s="497"/>
      <c r="AF36" s="497"/>
      <c r="AG36" s="327">
        <f>AH35</f>
        <v>0.03797663421319772</v>
      </c>
      <c r="AH36" s="327"/>
      <c r="AI36" s="327"/>
      <c r="AJ36" s="294">
        <f>AK$38*$D36</f>
        <v>31529.92620396733</v>
      </c>
      <c r="AK36" s="294"/>
      <c r="AL36" s="294"/>
      <c r="AM36" s="294">
        <f>AN$38*$D36</f>
        <v>528090.9541687095</v>
      </c>
      <c r="AN36" s="294"/>
      <c r="AO36" s="294"/>
      <c r="AP36" s="804">
        <f>AP35</f>
        <v>16.38010846119766</v>
      </c>
      <c r="AQ36" s="514">
        <f>SUM(AR5:AR34)</f>
        <v>42440703</v>
      </c>
      <c r="AR36" s="294"/>
      <c r="AS36" s="294"/>
      <c r="AT36" s="327">
        <f>AU35</f>
        <v>0.11920944938676839</v>
      </c>
      <c r="AU36" s="327"/>
      <c r="AV36" s="327"/>
      <c r="AW36" s="294">
        <f>AX$38*$D36</f>
        <v>386399.59340460296</v>
      </c>
      <c r="AX36" s="340"/>
      <c r="AY36" s="340"/>
      <c r="AZ36" s="294">
        <f>BA$38*$D36</f>
        <v>16994.886393786215</v>
      </c>
      <c r="BA36" s="294"/>
      <c r="BB36" s="294"/>
      <c r="BC36" s="294">
        <f>BD$38*$D36</f>
        <v>1945965.1238596018</v>
      </c>
      <c r="BD36" s="294"/>
      <c r="BE36" s="294"/>
      <c r="BF36" s="804">
        <f>BF35</f>
        <v>6.238310053482961</v>
      </c>
      <c r="BG36" s="294">
        <f>BH$38*$D36</f>
        <v>4741648.582846449</v>
      </c>
      <c r="BH36" s="294"/>
      <c r="BI36" s="294"/>
      <c r="BJ36" s="294">
        <f>BK$38*$D36</f>
        <v>1929162.0559908801</v>
      </c>
      <c r="BK36" s="295"/>
      <c r="BL36" s="295"/>
      <c r="BM36" s="294">
        <f>BN$38*$D36</f>
        <v>848521.5876985294</v>
      </c>
      <c r="BN36" s="294"/>
      <c r="BO36" s="294"/>
      <c r="BP36" s="294">
        <f>BQ$38*$D36</f>
        <v>744239.8421804492</v>
      </c>
      <c r="BQ36" s="294"/>
      <c r="BR36" s="294"/>
      <c r="BS36" s="806">
        <f t="shared" si="67"/>
        <v>550806.7270746726</v>
      </c>
      <c r="BT36" s="806">
        <f t="shared" si="67"/>
        <v>87058.89752990646</v>
      </c>
      <c r="BU36" s="294">
        <f>BV$38*$D36</f>
        <v>406547.1109592902</v>
      </c>
      <c r="BV36" s="294"/>
      <c r="BW36" s="294"/>
      <c r="BX36" s="804">
        <f>BX35</f>
        <v>1.8325181803183286</v>
      </c>
      <c r="BY36" s="294">
        <f>BZ$38*$D36</f>
        <v>913451.0297934684</v>
      </c>
      <c r="BZ36" s="294"/>
      <c r="CA36" s="294"/>
      <c r="CB36" s="806">
        <f t="shared" si="68"/>
        <v>589745.5569041374</v>
      </c>
      <c r="CC36" s="806">
        <f t="shared" si="68"/>
        <v>211410.16445024541</v>
      </c>
      <c r="CD36" s="294">
        <f>CE$38*$D36</f>
        <v>466627.1656761829</v>
      </c>
      <c r="CE36" s="295"/>
      <c r="CF36" s="295"/>
      <c r="CG36" s="805">
        <f>CG35</f>
        <v>2.0971544914676032</v>
      </c>
      <c r="CH36" s="294">
        <f>CI$38*$D36</f>
        <v>8885.771539779966</v>
      </c>
      <c r="CI36" s="294"/>
      <c r="CJ36" s="294"/>
      <c r="CK36" s="294">
        <f>CL$38*$D36</f>
        <v>217929.50616035357</v>
      </c>
      <c r="CL36" s="300"/>
      <c r="CM36" s="300"/>
      <c r="CN36" s="294">
        <f>CO$38*$D36</f>
        <v>16303.554991296427</v>
      </c>
      <c r="CO36" s="294"/>
      <c r="CP36" s="294"/>
      <c r="CQ36" s="294">
        <f>CR$38*$D36</f>
        <v>1101197.1592314548</v>
      </c>
      <c r="CR36" s="294"/>
      <c r="CS36" s="294"/>
      <c r="CT36" s="514">
        <f>SUM(CU5:CU34)</f>
        <v>29946</v>
      </c>
      <c r="CU36" s="294"/>
      <c r="CV36" s="294"/>
      <c r="CW36" s="294">
        <f>CX$38*$D36</f>
        <v>1281559.444173621</v>
      </c>
      <c r="CX36" s="294"/>
      <c r="CY36" s="294"/>
      <c r="CZ36" s="301"/>
      <c r="DA36" s="294"/>
      <c r="DB36" s="350"/>
      <c r="DC36" s="296"/>
      <c r="DE36" s="808" t="s">
        <v>333</v>
      </c>
      <c r="DF36" s="315">
        <f>1000*CH36/(BT36+CC36)</f>
        <v>29.771164491316245</v>
      </c>
      <c r="DG36" s="304"/>
    </row>
    <row r="37" spans="1:111" ht="15">
      <c r="A37" s="360" t="s">
        <v>227</v>
      </c>
      <c r="B37" s="340"/>
      <c r="C37" s="355" t="s">
        <v>224</v>
      </c>
      <c r="D37" s="513">
        <f>SUM(DD5:DD34)</f>
        <v>551.7570517186545</v>
      </c>
      <c r="E37" s="514">
        <f>SUM(G5:G34)</f>
        <v>14790271</v>
      </c>
      <c r="F37" s="294"/>
      <c r="G37" s="294"/>
      <c r="H37" s="327">
        <f>J35</f>
        <v>0.5274441223874629</v>
      </c>
      <c r="I37" s="327"/>
      <c r="J37" s="327"/>
      <c r="K37" s="514">
        <f>SUM(M5:M34)</f>
        <v>2566673</v>
      </c>
      <c r="L37" s="514"/>
      <c r="M37" s="514"/>
      <c r="N37" s="514">
        <f>SUM(P5:P34)</f>
        <v>244150975</v>
      </c>
      <c r="O37" s="294"/>
      <c r="P37" s="294"/>
      <c r="Q37" s="315">
        <f>S35</f>
        <v>0.3024649958300573</v>
      </c>
      <c r="R37" s="315"/>
      <c r="S37" s="315"/>
      <c r="T37" s="294">
        <f>V$38*$D37</f>
        <v>3088833.304801489</v>
      </c>
      <c r="U37" s="294"/>
      <c r="V37" s="294"/>
      <c r="W37" s="312">
        <f>Y$38*$D37</f>
        <v>5365530.815746252</v>
      </c>
      <c r="X37" s="294"/>
      <c r="Y37" s="294"/>
      <c r="Z37" s="804">
        <f>Z36</f>
        <v>1.5347008160287905</v>
      </c>
      <c r="AA37" s="514">
        <f>AC$38*$D37</f>
        <v>1431659.0508892338</v>
      </c>
      <c r="AB37" s="294"/>
      <c r="AC37" s="294"/>
      <c r="AD37" s="497">
        <f>AF35</f>
        <v>0.003182428451989174</v>
      </c>
      <c r="AE37" s="497"/>
      <c r="AF37" s="497"/>
      <c r="AG37" s="327">
        <f>AI35</f>
        <v>0.045161181401292556</v>
      </c>
      <c r="AH37" s="327"/>
      <c r="AI37" s="327"/>
      <c r="AJ37" s="294">
        <f>AL$38*$D37</f>
        <v>32052.90048694375</v>
      </c>
      <c r="AK37" s="294"/>
      <c r="AL37" s="294"/>
      <c r="AM37" s="294">
        <f>AO$38*$D37</f>
        <v>562001.0141929528</v>
      </c>
      <c r="AN37" s="294"/>
      <c r="AO37" s="294"/>
      <c r="AP37" s="804">
        <f>AP36</f>
        <v>16.38010846119766</v>
      </c>
      <c r="AQ37" s="514">
        <f>SUM(AS5:AS34)</f>
        <v>45985279</v>
      </c>
      <c r="AR37" s="294"/>
      <c r="AS37" s="294"/>
      <c r="AT37" s="327">
        <f>AV35</f>
        <v>0.11477642372147827</v>
      </c>
      <c r="AU37" s="327"/>
      <c r="AV37" s="327"/>
      <c r="AW37" s="294">
        <f>AY$38*$D37</f>
        <v>378267.9918597156</v>
      </c>
      <c r="AX37" s="340"/>
      <c r="AY37" s="340"/>
      <c r="AZ37" s="294">
        <f>BB$38*$D37</f>
        <v>19419.912232887087</v>
      </c>
      <c r="BA37" s="294"/>
      <c r="BB37" s="294"/>
      <c r="BC37" s="294">
        <f>BE$38*$D37</f>
        <v>2032108.0049498363</v>
      </c>
      <c r="BD37" s="294"/>
      <c r="BE37" s="294"/>
      <c r="BF37" s="804">
        <f>BF36</f>
        <v>6.238310053482961</v>
      </c>
      <c r="BG37" s="294">
        <f>BI$38*$D37</f>
        <v>4983291.213042669</v>
      </c>
      <c r="BH37" s="294"/>
      <c r="BI37" s="294"/>
      <c r="BJ37" s="294">
        <f>BL$38*$D37</f>
        <v>2053260.9307716135</v>
      </c>
      <c r="BK37" s="295"/>
      <c r="BL37" s="295"/>
      <c r="BM37" s="294">
        <f>BO$38*$D37</f>
        <v>877851.3233983966</v>
      </c>
      <c r="BN37" s="294"/>
      <c r="BO37" s="294"/>
      <c r="BP37" s="294">
        <f>BR$38*$D37</f>
        <v>704584.3174173874</v>
      </c>
      <c r="BQ37" s="294"/>
      <c r="BR37" s="294"/>
      <c r="BS37" s="806">
        <f t="shared" si="67"/>
        <v>604681.8349231324</v>
      </c>
      <c r="BT37" s="806">
        <f t="shared" si="67"/>
        <v>95574.23923334185</v>
      </c>
      <c r="BU37" s="294">
        <f>BW$38*$D37</f>
        <v>424354.0033258175</v>
      </c>
      <c r="BV37" s="294"/>
      <c r="BW37" s="294"/>
      <c r="BX37" s="804">
        <f>BX36</f>
        <v>1.8325181803183286</v>
      </c>
      <c r="BY37" s="294">
        <f>CA$38*$D37</f>
        <v>785545.6106336344</v>
      </c>
      <c r="BZ37" s="294"/>
      <c r="CA37" s="294"/>
      <c r="CB37" s="806">
        <f t="shared" si="68"/>
        <v>647429.3213165734</v>
      </c>
      <c r="CC37" s="806">
        <f t="shared" si="68"/>
        <v>232088.46202752518</v>
      </c>
      <c r="CD37" s="294">
        <f>CF$38*$D37</f>
        <v>414629.659495911</v>
      </c>
      <c r="CE37" s="295"/>
      <c r="CF37" s="295"/>
      <c r="CG37" s="805">
        <f>CG36</f>
        <v>2.0971544914676032</v>
      </c>
      <c r="CH37" s="294">
        <f>CJ$38*$D37</f>
        <v>8263.236024837808</v>
      </c>
      <c r="CI37" s="294"/>
      <c r="CJ37" s="294"/>
      <c r="CK37" s="294">
        <f>CM$38*$D37</f>
        <v>235320.98736347797</v>
      </c>
      <c r="CL37" s="300"/>
      <c r="CM37" s="300"/>
      <c r="CN37" s="294">
        <f>CP$38*$D37</f>
        <v>18506.352225350372</v>
      </c>
      <c r="CO37" s="294"/>
      <c r="CP37" s="294"/>
      <c r="CQ37" s="294">
        <f>CS$38*$D37</f>
        <v>1206499.3199066657</v>
      </c>
      <c r="CR37" s="294"/>
      <c r="CS37" s="294"/>
      <c r="CT37" s="514">
        <f>SUM(CV5:CV34)</f>
        <v>30793</v>
      </c>
      <c r="CU37" s="294"/>
      <c r="CV37" s="294"/>
      <c r="CW37" s="294">
        <f>CY$38*$D37</f>
        <v>1491262.7520307002</v>
      </c>
      <c r="CX37" s="294"/>
      <c r="CY37" s="294"/>
      <c r="CZ37" s="301"/>
      <c r="DA37" s="294"/>
      <c r="DB37" s="350"/>
      <c r="DC37" s="296"/>
      <c r="DE37" s="808" t="s">
        <v>334</v>
      </c>
      <c r="DF37" s="315">
        <f>1000*CH37/(BT37+CC37)</f>
        <v>25.218726431297632</v>
      </c>
      <c r="DG37" s="304"/>
    </row>
    <row r="38" spans="1:108" s="348" customFormat="1" ht="15">
      <c r="A38" s="359" t="s">
        <v>228</v>
      </c>
      <c r="B38" s="346"/>
      <c r="C38" s="357" t="s">
        <v>330</v>
      </c>
      <c r="D38" s="515"/>
      <c r="E38" s="516">
        <f>SUM(E5:E34)/((IF(E5&gt;0,$D5,0)+IF(E6&gt;0,$D6,0)+IF(E7&gt;0,$D7,0)+IF(E8&gt;0,$D8,0)+IF(E9&gt;0,$D9,0)+IF(E10&gt;0,$D10,0)+IF(E11&gt;0,$D11,0)+IF(E12&gt;0,$D12,0)+IF(E13&gt;0,$D13,0)+IF(E14&gt;0,$D14,0)+IF(E15&gt;0,$D15,0)+IF(E16&gt;0,$D16,0)+IF(E17&gt;0,$D17,0)+IF(E18&gt;0,$D18,0)+IF(E19&gt;0,$D19,0)+IF(E20&gt;0,$D20,0)+IF(E21&gt;0,$D21,0)+IF(E22&gt;0,$D22,0)+IF(E23&gt;0,$D23,0)+IF(E24&gt;0,$D24,0)+IF(E25&gt;0,$D25,0)+IF(E26&gt;0,$D26,0)+IF(E27&gt;0,$D27,0)+IF(E28&gt;0,$D28,0)+IF(E29&gt;0,$D29,0)+IF(E30&gt;0,$D30,0)+IF(E31&gt;0,$D31,0)+IF(E32&gt;0,$D32,0)+IF(E33&gt;0,$D33,0)+IF(E34&gt;0,$D34,0)))</f>
        <v>26184.641237116655</v>
      </c>
      <c r="F38" s="345" t="e">
        <f>SUM(F5:F34)/((IF(F5&gt;0,$D5,0)+IF(F6&gt;0,$D6,0)+IF(F7&gt;0,$D7,0)+IF(F8&gt;0,$D8,0)+IF(F9&gt;0,$D9,0)+IF(F10&gt;0,$D10,0)+IF(F11&gt;0,$D11,0)+IF(F12&gt;0,$D12,0)+IF(F13&gt;0,$D13,0)+IF(F14&gt;0,$D14,0)+IF(F15&gt;0,$D15,0)+IF(F16&gt;0,$D16,0)+IF(F17&gt;0,$D17,0)+IF(F18&gt;0,$D18,0)+IF(F19&gt;0,$D19,0)+IF(#REF!&gt;0,#REF!,0)+IF(F20&gt;0,$D20,0)+IF(F21&gt;0,$D21,0)+IF(F22&gt;0,$D22,0)+IF(F23&gt;0,$D23,0)+IF(F24&gt;0,$D24,0)+IF(F25&gt;0,$D25,0)+IF(F26&gt;0,$D26,0)+IF(F27&gt;0,$D27,0)+IF(F28&gt;0,$D28,0)+IF(F29&gt;0,$D29,0)+IF(F30&gt;0,$D30,0)+IF(F31&gt;0,$D31,0)+IF(F32&gt;0,$D32,0)+IF(F33&gt;0,$D33,0)+IF(F34&gt;0,$D34,0)))</f>
        <v>#REF!</v>
      </c>
      <c r="G38" s="345" t="e">
        <f>SUM(G5:G34)/((IF(G5&gt;0,$D5,0)+IF(G6&gt;0,$D6,0)+IF(G7&gt;0,$D7,0)+IF(G8&gt;0,$D8,0)+IF(G9&gt;0,$D9,0)+IF(G10&gt;0,$D10,0)+IF(G11&gt;0,$D11,0)+IF(G12&gt;0,$D12,0)+IF(G13&gt;0,$D13,0)+IF(G14&gt;0,$D14,0)+IF(G15&gt;0,$D15,0)+IF(G16&gt;0,$D16,0)+IF(G17&gt;0,$D17,0)+IF(G18&gt;0,$D18,0)+IF(G19&gt;0,$D19,0)+IF(#REF!&gt;0,#REF!,0)+IF(G20&gt;0,$D20,0)+IF(G21&gt;0,$D21,0)+IF(G22&gt;0,$D22,0)+IF(G23&gt;0,$D23,0)+IF(G24&gt;0,$D24,0)+IF(G25&gt;0,$D25,0)+IF(G26&gt;0,$D26,0)+IF(G27&gt;0,$D27,0)+IF(G28&gt;0,$D28,0)+IF(G29&gt;0,$D29,0)+IF(G30&gt;0,$D30,0)+IF(G31&gt;0,$D31,0)+IF(G32&gt;0,$D32,0)+IF(G33&gt;0,$D33,0)+IF(G34&gt;0,$D34,0)))</f>
        <v>#REF!</v>
      </c>
      <c r="K38" s="516">
        <f aca="true" t="shared" si="69" ref="K38:N38">SUM(K5:K34)/((IF(K5&gt;0,$D5,0)+IF(K6&gt;0,$D6,0)+IF(K7&gt;0,$D7,0)+IF(K8&gt;0,$D8,0)+IF(K9&gt;0,$D9,0)+IF(K10&gt;0,$D10,0)+IF(K11&gt;0,$D11,0)+IF(K12&gt;0,$D12,0)+IF(K13&gt;0,$D13,0)+IF(K14&gt;0,$D14,0)+IF(K15&gt;0,$D15,0)+IF(K16&gt;0,$D16,0)+IF(K17&gt;0,$D17,0)+IF(K18&gt;0,$D18,0)+IF(K19&gt;0,$D19,0)+IF(K20&gt;0,$D20,0)+IF(K21&gt;0,$D21,0)+IF(K22&gt;0,$D22,0)+IF(K23&gt;0,$D23,0)+IF(K24&gt;0,$D24,0)+IF(K25&gt;0,$D25,0)+IF(K26&gt;0,$D26,0)+IF(K27&gt;0,$D27,0)+IF(K28&gt;0,$D28,0)+IF(K29&gt;0,$D29,0)+IF(K30&gt;0,$D30,0)+IF(K31&gt;0,$D31,0)+IF(K32&gt;0,$D32,0)+IF(K33&gt;0,$D33,0)+IF(K34&gt;0,$D34,0)))</f>
        <v>4616.602721648361</v>
      </c>
      <c r="L38" s="516">
        <f t="shared" si="69"/>
        <v>4586.1849490365275</v>
      </c>
      <c r="M38" s="516">
        <f t="shared" si="69"/>
        <v>4651.840212780675</v>
      </c>
      <c r="N38" s="516">
        <f t="shared" si="69"/>
        <v>433512.11186059384</v>
      </c>
      <c r="O38" s="345">
        <f>SUM(O5:O34)/((IF(O5&gt;0,$D5,0)+IF(O6&gt;0,$D6,0)+IF(O7&gt;0,$D7,0)+IF(O8&gt;0,$D8,0)+IF(O9&gt;0,$D9,0)+IF(O10&gt;0,$D10,0)+IF(O11&gt;0,$D11,0)+IF(O12&gt;0,$D12,0)+IF(O13&gt;0,$D13,0)+IF(O14&gt;0,$D14,0)+IF(O15&gt;0,$D15,0)+IF(O16&gt;0,$D16,0)+IF(O17&gt;0,$D17,0)+IF(O18&gt;0,$D18,0)+IF(O19&gt;0,$D19,0)+IF(O20&gt;0,$D20,0)+IF(O21&gt;0,$D21,0)+IF(O22&gt;0,$D22,0)+IF(O23&gt;0,$D23,0)+IF(O24&gt;0,$D24,0)+IF(O25&gt;0,$D25,0)+IF(O26&gt;0,$D26,0)+IF(O27&gt;0,$D27,0)+IF(O28&gt;0,$D28,0)+IF(O29&gt;0,$D29,0)+IF(O30&gt;0,$D30,0)+IF(O31&gt;0,$D31,0)+IF(O32&gt;0,$D32,0)+IF(O33&gt;0,$D33,0)+IF(O34&gt;0,$D34,0)))</f>
        <v>479945.9027655045</v>
      </c>
      <c r="P38" s="345">
        <f>SUM(P5:P34)/((IF(P5&gt;0,$D5,0)+IF(P6&gt;0,$D6,0)+IF(P7&gt;0,$D7,0)+IF(P8&gt;0,$D8,0)+IF(P9&gt;0,$D9,0)+IF(P10&gt;0,$D10,0)+IF(P11&gt;0,$D11,0)+IF(P12&gt;0,$D12,0)+IF(P13&gt;0,$D13,0)+IF(P14&gt;0,$D14,0)+IF(P15&gt;0,$D15,0)+IF(P16&gt;0,$D16,0)+IF(P17&gt;0,$D17,0)+IF(P18&gt;0,$D18,0)+IF(P19&gt;0,$D19,0)+IF(P20&gt;0,$D20,0)+IF(P21&gt;0,$D21,0)+IF(P22&gt;0,$D22,0)+IF(P23&gt;0,$D23,0)+IF(P24&gt;0,$D24,0)+IF(P25&gt;0,$D25,0)+IF(P26&gt;0,$D26,0)+IF(P27&gt;0,$D27,0)+IF(P28&gt;0,$D28,0)+IF(P29&gt;0,$D29,0)+IF(P30&gt;0,$D30,0)+IF(P31&gt;0,$D31,0)+IF(P32&gt;0,$D32,0)+IF(P33&gt;0,$D33,0)+IF(P34&gt;0,$D34,0)))</f>
        <v>442499.4237655554</v>
      </c>
      <c r="Q38" s="834">
        <f>Q35</f>
        <v>0.3008482588467625</v>
      </c>
      <c r="T38" s="516">
        <f aca="true" t="shared" si="70" ref="T38:W38">SUM(T5:T34)/((IF(T5&gt;0,$D5,0)+IF(T6&gt;0,$D6,0)+IF(T7&gt;0,$D7,0)+IF(T8&gt;0,$D8,0)+IF(T9&gt;0,$D9,0)+IF(T10&gt;0,$D10,0)+IF(T11&gt;0,$D11,0)+IF(T12&gt;0,$D12,0)+IF(T13&gt;0,$D13,0)+IF(T14&gt;0,$D14,0)+IF(T15&gt;0,$D15,0)+IF(T16&gt;0,$D16,0)+IF(T17&gt;0,$D17,0)+IF(T18&gt;0,$D18,0)+IF(T19&gt;0,$D19,0)+IF(T20&gt;0,$D20,0)+IF(T21&gt;0,$D21,0)+IF(T22&gt;0,$D22,0)+IF(T23&gt;0,$D23,0)+IF(T24&gt;0,$D24,0)+IF(T25&gt;0,$D25,0)+IF(T26&gt;0,$D26,0)+IF(T27&gt;0,$D27,0)+IF(T28&gt;0,$D28,0)+IF(T29&gt;0,$D29,0)+IF(T30&gt;0,$D30,0)+IF(T31&gt;0,$D31,0)+IF(T32&gt;0,$D32,0)+IF(T33&gt;0,$D33,0)+IF(T34&gt;0,$D34,0)))</f>
        <v>5586.010791172631</v>
      </c>
      <c r="U38" s="516">
        <f t="shared" si="70"/>
        <v>6536.250200317456</v>
      </c>
      <c r="V38" s="516">
        <f t="shared" si="70"/>
        <v>5598.176398797547</v>
      </c>
      <c r="W38" s="516">
        <f t="shared" si="70"/>
        <v>9718.441212509502</v>
      </c>
      <c r="X38" s="345">
        <f>SUM(X5:X34)/(IF(X5&gt;0,$D5,0)+IF(X6&gt;0,$D6,0)+IF(X7&gt;0,$D7,0)+IF(X8&gt;0,$D8,0)+IF(X9&gt;0,$D9,0)+IF(X10&gt;0,$D10,0)+IF(X11&gt;0,$D11,0)+IF(X12&gt;0,$D12,0)+IF(X13&gt;0,$D13,0)+IF(X14&gt;0,$D14,0)+IF(X15&gt;0,$D15,0)+IF(X16&gt;0,$D16,0)+IF(X17&gt;0,$D17,0)+IF(X18&gt;0,$D18,0)+IF(X19&gt;0,$D19,0)+IF(X20&gt;0,$D20,0)+IF(X21&gt;0,$D21,0)+IF(X22&gt;0,$D22,0)+IF(X23&gt;0,$D23,0)+IF(X24&gt;0,$D24,0)+IF(X25&gt;0,$D25,0)+IF(X26&gt;0,$D26,0)+IF(X27&gt;0,$D27,0)+IF(X28&gt;0,$D28,0)+IF(X29&gt;0,$D29,0)+IF(X30&gt;0,$D30,0)+IF(X31&gt;0,$D31,0)+IF(X32&gt;0,$D32,0)+IF(X33&gt;0,$D33,0)+IF(X34&gt;0,$D34,0))</f>
        <v>9646.345865557903</v>
      </c>
      <c r="Y38" s="345">
        <f>SUM(Y5:Y34)/(IF(Y5&gt;0,$D5,0)+IF(Y6&gt;0,$D6,0)+IF(Y7&gt;0,$D7,0)+IF(Y8&gt;0,$D8,0)+IF(Y9&gt;0,$D9,0)+IF(Y10&gt;0,$D10,0)+IF(Y11&gt;0,$D11,0)+IF(Y12&gt;0,$D12,0)+IF(Y13&gt;0,$D13,0)+IF(Y14&gt;0,$D14,0)+IF(Y15&gt;0,$D15,0)+IF(Y16&gt;0,$D16,0)+IF(Y17&gt;0,$D17,0)+IF(Y18&gt;0,$D18,0)+IF(Y19&gt;0,$D19,0)+IF(Y20&gt;0,$D20,0)+IF(Y21&gt;0,$D21,0)+IF(Y22&gt;0,$D22,0)+IF(Y23&gt;0,$D23,0)+IF(Y24&gt;0,$D24,0)+IF(Y25&gt;0,$D25,0)+IF(Y26&gt;0,$D26,0)+IF(Y27&gt;0,$D27,0)+IF(Y28&gt;0,$D28,0)+IF(Y29&gt;0,$D29,0)+IF(Y30&gt;0,$D30,0)+IF(Y31&gt;0,$D31,0)+IF(Y32&gt;0,$D32,0)+IF(Y33&gt;0,$D33,0)+IF(Y34&gt;0,$D34,0))</f>
        <v>9724.444479745736</v>
      </c>
      <c r="Z38" s="836">
        <f>Z35</f>
        <v>1.5347008160287905</v>
      </c>
      <c r="AA38" s="516">
        <f aca="true" t="shared" si="71" ref="AA38">SUM(AA5:AA34)/((IF(AA5&gt;0,$D5,0)+IF(AA6&gt;0,$D6,0)+IF(AA7&gt;0,$D7,0)+IF(AA8&gt;0,$D8,0)+IF(AA9&gt;0,$D9,0)+IF(AA10&gt;0,$D10,0)+IF(AA11&gt;0,$D11,0)+IF(AA12&gt;0,$D12,0)+IF(AA13&gt;0,$D13,0)+IF(AA14&gt;0,$D14,0)+IF(AA15&gt;0,$D15,0)+IF(AA16&gt;0,$D16,0)+IF(AA17&gt;0,$D17,0)+IF(AA18&gt;0,$D18,0)+IF(AA19&gt;0,$D19,0)+IF(AA20&gt;0,$D20,0)+IF(AA21&gt;0,$D21,0)+IF(AA22&gt;0,$D22,0)+IF(AA23&gt;0,$D23,0)+IF(AA24&gt;0,$D24,0)+IF(AA25&gt;0,$D25,0)+IF(AA26&gt;0,$D26,0)+IF(AA27&gt;0,$D27,0)+IF(AA28&gt;0,$D28,0)+IF(AA29&gt;0,$D29,0)+IF(AA30&gt;0,$D30,0)+IF(AA31&gt;0,$D31,0)+IF(AA32&gt;0,$D32,0)+IF(AA33&gt;0,$D33,0)+IF(AA34&gt;0,$D34,0)))</f>
        <v>2600.6564147379627</v>
      </c>
      <c r="AB38" s="345">
        <f aca="true" t="shared" si="72" ref="AB38:AC38">SUM(AB5:AB34)/(IF(AB5&gt;0,$D5,0)+IF(AB6&gt;0,$D6,0)+IF(AB7&gt;0,$D7,0)+IF(AB8&gt;0,$D8,0)+IF(AB9&gt;0,$D9,0)+IF(AB10&gt;0,$D10,0)+IF(AB11&gt;0,$D11,0)+IF(AB12&gt;0,$D12,0)+IF(AB13&gt;0,$D13,0)+IF(AB14&gt;0,$D14,0)+IF(AB15&gt;0,$D15,0)+IF(AB16&gt;0,$D16,0)+IF(AB17&gt;0,$D17,0)+IF(AB18&gt;0,$D18,0)+IF(AB19&gt;0,$D19,0)+IF(AB20&gt;0,$D20,0)+IF(AB21&gt;0,$D21,0)+IF(AB22&gt;0,$D22,0)+IF(AB23&gt;0,$D23,0)+IF(AB24&gt;0,$D24,0)+IF(AB25&gt;0,$D25,0)+IF(AB26&gt;0,$D26,0)+IF(AB27&gt;0,$D27,0)+IF(AB28&gt;0,$D28,0)+IF(AB29&gt;0,$D29,0)+IF(AB30&gt;0,$D30,0)+IF(AB31&gt;0,$D31,0)+IF(AB32&gt;0,$D32,0)+IF(AB33&gt;0,$D33,0)+IF(AB34&gt;0,$D34,0))</f>
        <v>1750.2434762568887</v>
      </c>
      <c r="AC38" s="345">
        <f t="shared" si="72"/>
        <v>2594.727238065729</v>
      </c>
      <c r="AD38" s="839">
        <f>AD35</f>
        <v>0.0038831840009357433</v>
      </c>
      <c r="AE38" s="347"/>
      <c r="AF38" s="347"/>
      <c r="AG38" s="839">
        <f>AG35</f>
        <v>0.04386237228182741</v>
      </c>
      <c r="AJ38" s="345">
        <f aca="true" t="shared" si="73" ref="AJ38:AQ38">SUM(AJ5:AJ34)/((IF(AJ5&gt;0,$D5,0)+IF(AJ6&gt;0,$D6,0)+IF(AJ7&gt;0,$D7,0)+IF(AJ8&gt;0,$D8,0)+IF(AJ9&gt;0,$D9,0)+IF(AJ10&gt;0,$D10,0)+IF(AJ11&gt;0,$D11,0)+IF(AJ12&gt;0,$D12,0)+IF(AJ13&gt;0,$D13,0)+IF(AJ14&gt;0,$D14,0)+IF(AJ15&gt;0,$D15,0)+IF(AJ16&gt;0,$D16,0)+IF(AJ17&gt;0,$D17,0)+IF(AJ18&gt;0,$D18,0)+IF(AJ19&gt;0,$D19,0)+IF(AJ20&gt;0,$D20,0)+IF(AJ21&gt;0,$D21,0)+IF(AJ22&gt;0,$D22,0)+IF(AJ23&gt;0,$D23,0)+IF(AJ24&gt;0,$D24,0)+IF(AJ25&gt;0,$D25,0)+IF(AJ26&gt;0,$D26,0)+IF(AJ27&gt;0,$D27,0)+IF(AJ28&gt;0,$D28,0)+IF(AJ29&gt;0,$D29,0)+IF(AJ30&gt;0,$D30,0)+IF(AJ31&gt;0,$D31,0)+IF(AJ32&gt;0,$D32,0)+IF(AJ33&gt;0,$D33,0)+IF(AJ34&gt;0,$D34,0)))</f>
        <v>59.58180333361809</v>
      </c>
      <c r="AK38" s="345">
        <f t="shared" si="73"/>
        <v>62.73396661740006</v>
      </c>
      <c r="AL38" s="345">
        <f t="shared" si="73"/>
        <v>58.09241655743766</v>
      </c>
      <c r="AM38" s="345">
        <f t="shared" si="73"/>
        <v>1041.6378131585832</v>
      </c>
      <c r="AN38" s="345">
        <f t="shared" si="73"/>
        <v>1050.723686299088</v>
      </c>
      <c r="AO38" s="345">
        <f t="shared" si="73"/>
        <v>1018.5660744024742</v>
      </c>
      <c r="AP38" s="834">
        <f>AP35</f>
        <v>16.38010846119766</v>
      </c>
      <c r="AQ38" s="516">
        <f t="shared" si="73"/>
        <v>81029.55545877146</v>
      </c>
      <c r="AR38" s="345">
        <f aca="true" t="shared" si="74" ref="AR38:AS38">SUM(AR5:AR34)/(IF(AR5&gt;0,$D5,0)+IF(AR6&gt;0,$D6,0)+IF(AR7&gt;0,$D7,0)+IF(AR8&gt;0,$D8,0)+IF(AR9&gt;0,$D9,0)+IF(AR10&gt;0,$D10,0)+IF(AR11&gt;0,$D11,0)+IF(AR12&gt;0,$D12,0)+IF(AR13&gt;0,$D13,0)+IF(AR14&gt;0,$D14,0)+IF(AR15&gt;0,$D15,0)+IF(AR16&gt;0,$D16,0)+IF(AR17&gt;0,$D17,0)+IF(AR18&gt;0,$D18,0)+IF(AR19&gt;0,$D19,0)+IF(AR20&gt;0,$D20,0)+IF(AR21&gt;0,$D21,0)+IF(AR22&gt;0,$D22,0)+IF(AR23&gt;0,$D23,0)+IF(AR24&gt;0,$D24,0)+IF(AR25&gt;0,$D25,0)+IF(AR26&gt;0,$D26,0)+IF(AR27&gt;0,$D27,0)+IF(AR28&gt;0,$D28,0)+IF(AR29&gt;0,$D29,0)+IF(AR30&gt;0,$D30,0)+IF(AR31&gt;0,$D31,0)+IF(AR32&gt;0,$D32,0)+IF(AR33&gt;0,$D33,0)+IF(AR34&gt;0,$D34,0))</f>
        <v>84443.20558384992</v>
      </c>
      <c r="AS38" s="345">
        <f t="shared" si="74"/>
        <v>83343.75670299205</v>
      </c>
      <c r="AW38" s="345">
        <f aca="true" t="shared" si="75" ref="AW38:BC38">SUM(AW5:AW34)/((IF(AW5&gt;0,$D5,0)+IF(AW6&gt;0,$D6,0)+IF(AW7&gt;0,$D7,0)+IF(AW8&gt;0,$D8,0)+IF(AW9&gt;0,$D9,0)+IF(AW10&gt;0,$D10,0)+IF(AW11&gt;0,$D11,0)+IF(AW12&gt;0,$D12,0)+IF(AW13&gt;0,$D13,0)+IF(AW14&gt;0,$D14,0)+IF(AW15&gt;0,$D15,0)+IF(AW16&gt;0,$D16,0)+IF(AW17&gt;0,$D17,0)+IF(AW18&gt;0,$D18,0)+IF(AW19&gt;0,$D19,0)+IF(AW20&gt;0,$D20,0)+IF(AW21&gt;0,$D21,0)+IF(AW22&gt;0,$D22,0)+IF(AW23&gt;0,$D23,0)+IF(AW24&gt;0,$D24,0)+IF(AW25&gt;0,$D25,0)+IF(AW26&gt;0,$D26,0)+IF(AW27&gt;0,$D27,0)+IF(AW28&gt;0,$D28,0)+IF(AW29&gt;0,$D29,0)+IF(AW30&gt;0,$D30,0)+IF(AW31&gt;0,$D31,0)+IF(AW32&gt;0,$D32,0)+IF(AW33&gt;0,$D33,0)+IF(AW34&gt;0,$D34,0)))</f>
        <v>683.5914320572022</v>
      </c>
      <c r="AX38" s="345">
        <f t="shared" si="75"/>
        <v>768.8054528516851</v>
      </c>
      <c r="AY38" s="345">
        <f t="shared" si="75"/>
        <v>685.5698367269761</v>
      </c>
      <c r="AZ38" s="349">
        <f t="shared" si="75"/>
        <v>34.17622948761975</v>
      </c>
      <c r="BA38" s="344">
        <f t="shared" si="75"/>
        <v>33.81411769876389</v>
      </c>
      <c r="BB38" s="344">
        <f t="shared" si="75"/>
        <v>35.196491231777614</v>
      </c>
      <c r="BC38" s="345">
        <f t="shared" si="75"/>
        <v>3663.7923671865765</v>
      </c>
      <c r="BD38" s="345">
        <f aca="true" t="shared" si="76" ref="BD38:BE38">SUM(BD5:BD34)/(IF(BD5&gt;0,$D5,0)+IF(BD6&gt;0,$D6,0)+IF(BD7&gt;0,$D7,0)+IF(BD8&gt;0,$D8,0)+IF(BD9&gt;0,$D9,0)+IF(BD10&gt;0,$D10,0)+IF(BD11&gt;0,$D11,0)+IF(BD12&gt;0,$D12,0)+IF(BD13&gt;0,$D13,0)+IF(BD14&gt;0,$D14,0)+IF(BD15&gt;0,$D15,0)+IF(BD16&gt;0,$D16,0)+IF(BD17&gt;0,$D17,0)+IF(BD18&gt;0,$D18,0)+IF(BD19&gt;0,$D19,0)+IF(BD20&gt;0,$D20,0)+IF(BD21&gt;0,$D21,0)+IF(BD22&gt;0,$D22,0)+IF(BD23&gt;0,$D23,0)+IF(BD24&gt;0,$D24,0)+IF(BD25&gt;0,$D25,0)+IF(BD26&gt;0,$D26,0)+IF(BD27&gt;0,$D27,0)+IF(BD28&gt;0,$D28,0)+IF(BD29&gt;0,$D29,0)+IF(BD30&gt;0,$D30,0)+IF(BD31&gt;0,$D31,0)+IF(BD32&gt;0,$D32,0)+IF(BD33&gt;0,$D33,0)+IF(BD34&gt;0,$D34,0))</f>
        <v>3871.8172167327257</v>
      </c>
      <c r="BE38" s="345">
        <f t="shared" si="76"/>
        <v>3682.9760464684105</v>
      </c>
      <c r="BF38" s="834">
        <f>BF35</f>
        <v>6.238310053482961</v>
      </c>
      <c r="BG38" s="375">
        <f aca="true" t="shared" si="77" ref="BG38:BM38">SUM(BG5:BG34)/((IF(BG5&gt;0,$D5,0)+IF(BG6&gt;0,$D6,0)+IF(BG7&gt;0,$D7,0)+IF(BG8&gt;0,$D8,0)+IF(BG9&gt;0,$D9,0)+IF(BG10&gt;0,$D10,0)+IF(BG11&gt;0,$D11,0)+IF(BG12&gt;0,$D12,0)+IF(BG13&gt;0,$D13,0)+IF(BG14&gt;0,$D14,0)+IF(BG15&gt;0,$D15,0)+IF(BG16&gt;0,$D16,0)+IF(BG17&gt;0,$D17,0)+IF(BG18&gt;0,$D18,0)+IF(BG19&gt;0,$D19,0)+IF(BG20&gt;0,$D20,0)+IF(BG21&gt;0,$D21,0)+IF(BG22&gt;0,$D22,0)+IF(BG23&gt;0,$D23,0)+IF(BG24&gt;0,$D24,0)+IF(BG25&gt;0,$D25,0)+IF(BG26&gt;0,$D26,0)+IF(BG27&gt;0,$D27,0)+IF(BG28&gt;0,$D28,0)+IF(BG29&gt;0,$D29,0)+IF(BG30&gt;0,$D30,0)+IF(BG31&gt;0,$D31,0)+IF(BG32&gt;0,$D32,0)+IF(BG33&gt;0,$D33,0)+IF(BG34&gt;0,$D34,0)))</f>
        <v>8524.224389553092</v>
      </c>
      <c r="BH38" s="345">
        <f t="shared" si="77"/>
        <v>9434.288617849745</v>
      </c>
      <c r="BI38" s="345">
        <f t="shared" si="77"/>
        <v>9031.67652777674</v>
      </c>
      <c r="BJ38" s="345">
        <f t="shared" si="77"/>
        <v>3650.863844172972</v>
      </c>
      <c r="BK38" s="345">
        <f t="shared" si="77"/>
        <v>3838.3847534936062</v>
      </c>
      <c r="BL38" s="345">
        <f t="shared" si="77"/>
        <v>3721.3134374557817</v>
      </c>
      <c r="BM38" s="345">
        <f t="shared" si="77"/>
        <v>1549.634608165119</v>
      </c>
      <c r="BN38" s="345">
        <f aca="true" t="shared" si="78" ref="BN38:BO38">SUM(BN5:BN34)/(IF(BN5&gt;0,$D5,0)+IF(BN6&gt;0,$D6,0)+IF(BN7&gt;0,$D7,0)+IF(BN8&gt;0,$D8,0)+IF(BN9&gt;0,$D9,0)+IF(BN10&gt;0,$D10,0)+IF(BN11&gt;0,$D11,0)+IF(BN12&gt;0,$D12,0)+IF(BN13&gt;0,$D13,0)+IF(BN14&gt;0,$D14,0)+IF(BN15&gt;0,$D15,0)+IF(BN16&gt;0,$D16,0)+IF(BN17&gt;0,$D17,0)+IF(BN18&gt;0,$D18,0)+IF(BN19&gt;0,$D19,0)+IF(BN20&gt;0,$D20,0)+IF(BN21&gt;0,$D21,0)+IF(BN22&gt;0,$D22,0)+IF(BN23&gt;0,$D23,0)+IF(BN24&gt;0,$D24,0)+IF(BN25&gt;0,$D25,0)+IF(BN26&gt;0,$D26,0)+IF(BN27&gt;0,$D27,0)+IF(BN28&gt;0,$D28,0)+IF(BN29&gt;0,$D29,0)+IF(BN30&gt;0,$D30,0)+IF(BN31&gt;0,$D31,0)+IF(BN32&gt;0,$D32,0)+IF(BN33&gt;0,$D33,0)+IF(BN34&gt;0,$D34,0))</f>
        <v>1688.273058822602</v>
      </c>
      <c r="BO38" s="345">
        <f t="shared" si="78"/>
        <v>1591.0106099487068</v>
      </c>
      <c r="BP38" s="345">
        <f aca="true" t="shared" si="79" ref="BP38:BT38">SUM(BP5:BP34)/((IF(BP5&gt;0,$D5,0)+IF(BP6&gt;0,$D6,0)+IF(BP7&gt;0,$D7,0)+IF(BP8&gt;0,$D8,0)+IF(BP9&gt;0,$D9,0)+IF(BP10&gt;0,$D10,0)+IF(BP11&gt;0,$D11,0)+IF(BP12&gt;0,$D12,0)+IF(BP13&gt;0,$D13,0)+IF(BP14&gt;0,$D14,0)+IF(BP15&gt;0,$D15,0)+IF(BP16&gt;0,$D16,0)+IF(BP17&gt;0,$D17,0)+IF(BP18&gt;0,$D18,0)+IF(BP19&gt;0,$D19,0)+IF(BP20&gt;0,$D20,0)+IF(BP21&gt;0,$D21,0)+IF(BP22&gt;0,$D22,0)+IF(BP23&gt;0,$D23,0)+IF(BP24&gt;0,$D24,0)+IF(BP25&gt;0,$D25,0)+IF(BP26&gt;0,$D26,0)+IF(BP27&gt;0,$D27,0)+IF(BP28&gt;0,$D28,0)+IF(BP29&gt;0,$D29,0)+IF(BP30&gt;0,$D30,0)+IF(BP31&gt;0,$D31,0)+IF(BP32&gt;0,$D32,0)+IF(BP33&gt;0,$D33,0)+IF(BP34&gt;0,$D34,0)))</f>
        <v>1290.3845636228793</v>
      </c>
      <c r="BQ38" s="345">
        <f t="shared" si="79"/>
        <v>1480.7873990143564</v>
      </c>
      <c r="BR38" s="345">
        <f t="shared" si="79"/>
        <v>1276.9828953208573</v>
      </c>
      <c r="BS38" s="345">
        <f t="shared" si="79"/>
        <v>1095.920447304885</v>
      </c>
      <c r="BT38" s="345">
        <f t="shared" si="79"/>
        <v>173.217975077328</v>
      </c>
      <c r="BU38" s="345">
        <f aca="true" t="shared" si="80" ref="BU38:BW38">SUM(BU5:BU34)/((IF(BU5&gt;0,$D5,0)+IF(BU6&gt;0,$D6,0)+IF(BU7&gt;0,$D7,0)+IF(BU8&gt;0,$D8,0)+IF(BU9&gt;0,$D9,0)+IF(BU10&gt;0,$D10,0)+IF(BU11&gt;0,$D11,0)+IF(BU12&gt;0,$D12,0)+IF(BU13&gt;0,$D13,0)+IF(BU14&gt;0,$D14,0)+IF(BU15&gt;0,$D15,0)+IF(BU16&gt;0,$D16,0)+IF(BU17&gt;0,$D17,0)+IF(BU18&gt;0,$D18,0)+IF(BU19&gt;0,$D19,0)+IF(BU20&gt;0,$D20,0)+IF(BU21&gt;0,$D21,0)+IF(BU22&gt;0,$D22,0)+IF(BU23&gt;0,$D23,0)+IF(BU24&gt;0,$D24,0)+IF(BU25&gt;0,$D25,0)+IF(BU26&gt;0,$D26,0)+IF(BU27&gt;0,$D27,0)+IF(BU28&gt;0,$D28,0)+IF(BU29&gt;0,$D29,0)+IF(BU30&gt;0,$D30,0)+IF(BU31&gt;0,$D31,0)+IF(BU32&gt;0,$D32,0)+IF(BU33&gt;0,$D33,0)+IF(BU34&gt;0,$D34,0)))</f>
        <v>739.3411293503199</v>
      </c>
      <c r="BV38" s="345">
        <f t="shared" si="80"/>
        <v>808.8922480291566</v>
      </c>
      <c r="BW38" s="345">
        <f t="shared" si="80"/>
        <v>769.095749667372</v>
      </c>
      <c r="BX38" s="834">
        <f>BX35</f>
        <v>1.8325181803183286</v>
      </c>
      <c r="BY38" s="345">
        <f aca="true" t="shared" si="81" ref="BY38:CC38">SUM(BY5:BY34)/((IF(BY5&gt;0,$D5,0)+IF(BY6&gt;0,$D6,0)+IF(BY7&gt;0,$D7,0)+IF(BY8&gt;0,$D8,0)+IF(BY9&gt;0,$D9,0)+IF(BY10&gt;0,$D10,0)+IF(BY11&gt;0,$D11,0)+IF(BY12&gt;0,$D12,0)+IF(BY13&gt;0,$D13,0)+IF(BY14&gt;0,$D14,0)+IF(BY15&gt;0,$D15,0)+IF(BY16&gt;0,$D16,0)+IF(BY17&gt;0,$D17,0)+IF(BY18&gt;0,$D18,0)+IF(BY19&gt;0,$D19,0)+IF(BY20&gt;0,$D20,0)+IF(BY21&gt;0,$D21,0)+IF(BY22&gt;0,$D22,0)+IF(BY23&gt;0,$D23,0)+IF(BY24&gt;0,$D24,0)+IF(BY25&gt;0,$D25,0)+IF(BY26&gt;0,$D26,0)+IF(BY27&gt;0,$D27,0)+IF(BY28&gt;0,$D28,0)+IF(BY29&gt;0,$D29,0)+IF(BY30&gt;0,$D30,0)+IF(BY31&gt;0,$D31,0)+IF(BY32&gt;0,$D32,0)+IF(BY33&gt;0,$D33,0)+IF(BY34&gt;0,$D34,0)))</f>
        <v>1582.7235576020546</v>
      </c>
      <c r="BZ38" s="345">
        <f t="shared" si="81"/>
        <v>1817.4608477987076</v>
      </c>
      <c r="CA38" s="345">
        <f t="shared" si="81"/>
        <v>1423.7164857010123</v>
      </c>
      <c r="CB38" s="345">
        <f t="shared" si="81"/>
        <v>1173.3956445140334</v>
      </c>
      <c r="CC38" s="345">
        <f t="shared" si="81"/>
        <v>420.6352439078006</v>
      </c>
      <c r="CD38" s="345">
        <f aca="true" t="shared" si="82" ref="CD38:CN38">SUM(CD5:CD34)/((IF(CD5&gt;0,$D5,0)+IF(CD6&gt;0,$D6,0)+IF(CD7&gt;0,$D7,0)+IF(CD8&gt;0,$D8,0)+IF(CD9&gt;0,$D9,0)+IF(CD10&gt;0,$D10,0)+IF(CD11&gt;0,$D11,0)+IF(CD12&gt;0,$D12,0)+IF(CD13&gt;0,$D13,0)+IF(CD14&gt;0,$D14,0)+IF(CD15&gt;0,$D15,0)+IF(CD16&gt;0,$D16,0)+IF(CD17&gt;0,$D17,0)+IF(CD18&gt;0,$D18,0)+IF(CD19&gt;0,$D19,0)+IF(CD20&gt;0,$D20,0)+IF(CD21&gt;0,$D21,0)+IF(CD22&gt;0,$D22,0)+IF(CD23&gt;0,$D23,0)+IF(CD24&gt;0,$D24,0)+IF(CD25&gt;0,$D25,0)+IF(CD26&gt;0,$D26,0)+IF(CD27&gt;0,$D27,0)+IF(CD28&gt;0,$D28,0)+IF(CD29&gt;0,$D29,0)+IF(CD30&gt;0,$D30,0)+IF(CD31&gt;0,$D31,0)+IF(CD32&gt;0,$D32,0)+IF(CD33&gt;0,$D33,0)+IF(CD34&gt;0,$D34,0)))</f>
        <v>782.7125308415049</v>
      </c>
      <c r="CE38" s="345">
        <f t="shared" si="82"/>
        <v>928.431384359481</v>
      </c>
      <c r="CF38" s="345">
        <f t="shared" si="82"/>
        <v>751.4714278764382</v>
      </c>
      <c r="CG38" s="834">
        <f>CG35</f>
        <v>2.0971544914676032</v>
      </c>
      <c r="CH38" s="345">
        <f t="shared" si="82"/>
        <v>15.939093646113747</v>
      </c>
      <c r="CI38" s="345">
        <f t="shared" si="82"/>
        <v>17.679701866103912</v>
      </c>
      <c r="CJ38" s="345">
        <f t="shared" si="82"/>
        <v>14.976221869931445</v>
      </c>
      <c r="CK38" s="376">
        <f t="shared" si="82"/>
        <v>433.60654496837486</v>
      </c>
      <c r="CL38" s="375">
        <f aca="true" t="shared" si="83" ref="CL38:CM38">SUM(CL5:CL34)/(IF(CL5&gt;0,$D5,0)+IF(CL6&gt;0,$D6,0)+IF(CL7&gt;0,$D7,0)+IF(CL8&gt;0,$D8,0)+IF(CL9&gt;0,$D9,0)+IF(CL10&gt;0,$D10,0)+IF(CL11&gt;0,$D11,0)+IF(CL12&gt;0,$D12,0)+IF(CL13&gt;0,$D13,0)+IF(CL14&gt;0,$D14,0)+IF(CL15&gt;0,$D15,0)+IF(CL16&gt;0,$D16,0)+IF(CL17&gt;0,$D17,0)+IF(CL18&gt;0,$D18,0)+IF(CL19&gt;0,$D19,0)+IF(CL20&gt;0,$D20,0)+IF(CL21&gt;0,$D21,0)+IF(CL22&gt;0,$D22,0)+IF(CL23&gt;0,$D23,0)+IF(CL24&gt;0,$D24,0)+IF(CL25&gt;0,$D25,0)+IF(CL26&gt;0,$D26,0)+IF(CL27&gt;0,$D27,0)+IF(CL28&gt;0,$D28,0)+IF(CL29&gt;0,$D29,0)+IF(CL30&gt;0,$D30,0)+IF(CL31&gt;0,$D31,0)+IF(CL32&gt;0,$D32,0)+IF(CL33&gt;0,$D33,0)+IF(CL34&gt;0,$D34,0))</f>
        <v>433.60654496837486</v>
      </c>
      <c r="CM38" s="375">
        <f t="shared" si="83"/>
        <v>426.4938465770078</v>
      </c>
      <c r="CN38" s="377">
        <f t="shared" si="82"/>
        <v>31.80001293715302</v>
      </c>
      <c r="CO38" s="345">
        <f aca="true" t="shared" si="84" ref="CO38:CP38">SUM(CO5:CO34)/(IF(CO5&gt;0,$D5,0)+IF(CO6&gt;0,$D6,0)+IF(CO7&gt;0,$D7,0)+IF(CO8&gt;0,$D8,0)+IF(CO9&gt;0,$D9,0)+IF(CO10&gt;0,$D10,0)+IF(CO11&gt;0,$D11,0)+IF(CO12&gt;0,$D12,0)+IF(CO13&gt;0,$D13,0)+IF(CO14&gt;0,$D14,0)+IF(CO15&gt;0,$D15,0)+IF(CO16&gt;0,$D16,0)+IF(CO17&gt;0,$D17,0)+IF(CO18&gt;0,$D18,0)+IF(CO19&gt;0,$D19,0)+IF(CO20&gt;0,$D20,0)+IF(CO21&gt;0,$D21,0)+IF(CO22&gt;0,$D22,0)+IF(CO23&gt;0,$D23,0)+IF(CO24&gt;0,$D24,0)+IF(CO25&gt;0,$D25,0)+IF(CO26&gt;0,$D26,0)+IF(CO27&gt;0,$D27,0)+IF(CO28&gt;0,$D28,0)+IF(CO29&gt;0,$D29,0)+IF(CO30&gt;0,$D30,0)+IF(CO31&gt;0,$D31,0)+IF(CO32&gt;0,$D32,0)+IF(CO33&gt;0,$D33,0)+IF(CO34&gt;0,$D34,0))</f>
        <v>32.43860033012832</v>
      </c>
      <c r="CP38" s="345">
        <f t="shared" si="84"/>
        <v>33.54076249266845</v>
      </c>
      <c r="CQ38" s="345">
        <f aca="true" t="shared" si="85" ref="CQ38:CY38">SUM(CQ5:CQ34)/((IF(CQ5&gt;0,$D5,0)+IF(CQ6&gt;0,$D6,0)+IF(CQ7&gt;0,$D7,0)+IF(CQ8&gt;0,$D8,0)+IF(CQ9&gt;0,$D9,0)+IF(CQ10&gt;0,$D10,0)+IF(CQ11&gt;0,$D11,0)+IF(CQ12&gt;0,$D12,0)+IF(CQ13&gt;0,$D13,0)+IF(CQ14&gt;0,$D14,0)+IF(CQ15&gt;0,$D15,0)+IF(CQ16&gt;0,$D16,0)+IF(CQ17&gt;0,$D17,0)+IF(CQ18&gt;0,$D18,0)+IF(CQ19&gt;0,$D19,0)+IF(CQ20&gt;0,$D20,0)+IF(CQ21&gt;0,$D21,0)+IF(CQ22&gt;0,$D22,0)+IF(CQ23&gt;0,$D23,0)+IF(CQ24&gt;0,$D24,0)+IF(CQ25&gt;0,$D25,0)+IF(CQ26&gt;0,$D26,0)+IF(CQ27&gt;0,$D27,0)+IF(CQ28&gt;0,$D28,0)+IF(CQ29&gt;0,$D29,0)+IF(CQ30&gt;0,$D30,0)+IF(CQ31&gt;0,$D31,0)+IF(CQ32&gt;0,$D32,0)+IF(CQ33&gt;0,$D33,0)+IF(CQ34&gt;0,$D34,0)))</f>
        <v>2129.8294070126153</v>
      </c>
      <c r="CR38" s="345">
        <f t="shared" si="85"/>
        <v>2191.0126074988843</v>
      </c>
      <c r="CS38" s="345">
        <f t="shared" si="85"/>
        <v>2186.6495700391515</v>
      </c>
      <c r="CT38" s="516">
        <f t="shared" si="85"/>
        <v>58.060660554089175</v>
      </c>
      <c r="CU38" s="345">
        <f t="shared" si="85"/>
        <v>59.58280743874506</v>
      </c>
      <c r="CV38" s="345">
        <f t="shared" si="85"/>
        <v>55.80925800526804</v>
      </c>
      <c r="CW38" s="345">
        <f t="shared" si="85"/>
        <v>2645.3088393188623</v>
      </c>
      <c r="CX38" s="345">
        <f t="shared" si="85"/>
        <v>2549.872995861485</v>
      </c>
      <c r="CY38" s="345">
        <f t="shared" si="85"/>
        <v>2702.7525020035587</v>
      </c>
      <c r="CZ38" s="803">
        <f>($D8*CZ8+$D9*CZ9+$D10*CZ10+$D11*CZ11+$D12*CZ12+$D13*CZ13+$D14*CZ14+$D15*CZ15+$D16*CZ16+$D17*CZ17+$D18*CZ18+$D19*CZ19+$D20*CZ20+$D21*CZ21+$D22*CZ22+$D23*CZ23+$D24*CZ24+$D25*CZ25+$D26*CZ26+$D27*CZ27+$D28*CZ28+$D29*CZ29+$D30*CZ30+$D31*CZ31+$D32*CZ32+$D33*CZ33+$D34*CZ34+$D35*CZ35+$D36*CZ36+$D37*CZ37)/(IF(CZ8&gt;0,$D8,0)+IF(CZ9&gt;0,$D9,0)+IF(CZ10&gt;0,$D10,0)+IF(CZ11&gt;0,$D11,0)+IF(CZ12&gt;0,$D12,0)+IF(CZ13&gt;0,$D13,0)+IF(CZ14&gt;0,$D14,0)+IF(CZ15&gt;0,$D15,0)+IF(CZ16&gt;0,$D16,0)+IF(CZ17&gt;0,$D17,0)+IF(CZ18&gt;0,$D18,0)+IF(CZ19&gt;0,$D19,0)+IF(CZ20&gt;0,$D20,0)+IF(CZ21&gt;0,$D21,0)+IF(CZ22&gt;0,$D22,0)+IF(CZ23&gt;0,$D23,0)+IF(CZ24&gt;0,$D24,0)+IF(CZ25&gt;0,$D25,0)+IF(CZ26&gt;0,$D26,0)+IF(CZ27&gt;0,$D27,0)+IF(CZ28&gt;0,$D28,0)+IF(CZ29&gt;0,$D29,0)+IF(CZ30&gt;0,$D30,0)+IF(CZ31&gt;0,$D31,0)+IF(CZ32&gt;0,$D32,0)+IF(CZ33&gt;0,$D33,0)+IF(CZ34&gt;0,$D34,0)+IF(CZ35&gt;0,$D35,0)+IF(CZ36&gt;0,$D36,0)+IF(CZ37&gt;0,$D37,0))</f>
        <v>57.641784816598985</v>
      </c>
      <c r="DA38" s="803">
        <f>($D8*DA8+$D9*DA9+$D10*DA10+$D11*DA11+$D12*DA12+$D13*DA13+$D14*DA14+$D15*DA15+$D16*DA16+$D17*DA17+$D18*DA18+$D19*DA19+$D20*DA20+$D21*DA21+$D22*DA22+$D23*DA23+$D24*DA24+$D25*DA25+$D26*DA26+$D27*DA27+$D28*DA28+$D29*DA29+$D30*DA30+$D31*DA31+$D32*DA32+$D33*DA33+$D34*DA34+$D35*DA35+$D36*DA36+$D37*DA37)/(IF(DA8&gt;0,$D8,0)+IF(DA9&gt;0,$D9,0)+IF(DA10&gt;0,$D10,0)+IF(DA11&gt;0,$D11,0)+IF(DA12&gt;0,$D12,0)+IF(DA13&gt;0,$D13,0)+IF(DA14&gt;0,$D14,0)+IF(DA15&gt;0,$D15,0)+IF(DA16&gt;0,$D16,0)+IF(DA17&gt;0,$D17,0)+IF(DA18&gt;0,$D18,0)+IF(DA19&gt;0,$D19,0)+IF(DA20&gt;0,$D20,0)+IF(DA21&gt;0,$D21,0)+IF(DA22&gt;0,$D22,0)+IF(DA23&gt;0,$D23,0)+IF(DA24&gt;0,$D24,0)+IF(DA25&gt;0,$D25,0)+IF(DA26&gt;0,$D26,0)+IF(DA27&gt;0,$D27,0)+IF(DA28&gt;0,$D28,0)+IF(DA29&gt;0,$D29,0)+IF(DA30&gt;0,$D30,0)+IF(DA31&gt;0,$D31,0)+IF(DA32&gt;0,$D32,0)+IF(DA33&gt;0,$D33,0)+IF(DA34&gt;0,$D34,0)+IF(DA35&gt;0,$D35,0)+IF(DA36&gt;0,$D36,0)+IF(DA37&gt;0,$D37,0))</f>
        <v>2592.252514674623</v>
      </c>
      <c r="DB38" s="344"/>
      <c r="DC38" s="347"/>
      <c r="DD38" s="347"/>
    </row>
    <row r="39" spans="1:108" ht="12.75" customHeight="1">
      <c r="A39" s="307"/>
      <c r="B39" s="307"/>
      <c r="C39" s="833" t="s">
        <v>338</v>
      </c>
      <c r="D39" s="307"/>
      <c r="E39" s="304"/>
      <c r="F39" s="304"/>
      <c r="G39" s="304"/>
      <c r="H39" s="1483" t="s">
        <v>203</v>
      </c>
      <c r="I39" s="338"/>
      <c r="J39" s="338"/>
      <c r="K39" s="329"/>
      <c r="L39" s="304"/>
      <c r="M39" s="304"/>
      <c r="N39" s="304"/>
      <c r="O39" s="304"/>
      <c r="P39" s="304"/>
      <c r="Q39" s="835" t="s">
        <v>73</v>
      </c>
      <c r="R39" s="304"/>
      <c r="S39" s="304"/>
      <c r="T39" s="1480" t="s">
        <v>203</v>
      </c>
      <c r="U39" s="1480"/>
      <c r="V39" s="1480"/>
      <c r="W39" s="1480"/>
      <c r="X39" s="294"/>
      <c r="Y39" s="294"/>
      <c r="Z39" s="837" t="s">
        <v>73</v>
      </c>
      <c r="AA39" s="1480"/>
      <c r="AB39" s="318"/>
      <c r="AC39" s="318"/>
      <c r="AD39" s="838" t="s">
        <v>73</v>
      </c>
      <c r="AE39" s="331"/>
      <c r="AF39" s="331"/>
      <c r="AG39" s="838" t="s">
        <v>73</v>
      </c>
      <c r="AH39" s="331"/>
      <c r="AI39" s="331"/>
      <c r="AJ39" s="1480" t="s">
        <v>203</v>
      </c>
      <c r="AK39" s="1480"/>
      <c r="AL39" s="1480"/>
      <c r="AM39" s="1480"/>
      <c r="AN39" s="318"/>
      <c r="AO39" s="318"/>
      <c r="AP39" s="838" t="s">
        <v>73</v>
      </c>
      <c r="AQ39" s="294"/>
      <c r="AR39" s="304"/>
      <c r="AS39" s="304"/>
      <c r="AT39" s="327"/>
      <c r="AU39" s="327"/>
      <c r="AV39" s="327"/>
      <c r="AW39" s="294"/>
      <c r="AX39" s="327"/>
      <c r="AY39" s="327"/>
      <c r="AZ39" s="1480" t="s">
        <v>203</v>
      </c>
      <c r="BA39" s="1480"/>
      <c r="BB39" s="1480"/>
      <c r="BC39" s="1480"/>
      <c r="BD39" s="294"/>
      <c r="BE39" s="294"/>
      <c r="BF39" s="838" t="s">
        <v>73</v>
      </c>
      <c r="BG39" s="1478" t="s">
        <v>200</v>
      </c>
      <c r="BH39" s="304"/>
      <c r="BI39" s="304"/>
      <c r="BJ39" s="304"/>
      <c r="BK39" s="304"/>
      <c r="BL39" s="304"/>
      <c r="BM39" s="304"/>
      <c r="BN39" s="304"/>
      <c r="BO39" s="304"/>
      <c r="BP39" s="304"/>
      <c r="BQ39" s="304"/>
      <c r="BR39" s="304"/>
      <c r="BS39" s="304"/>
      <c r="BT39" s="304"/>
      <c r="BU39" s="304"/>
      <c r="BV39" s="304"/>
      <c r="BW39" s="304"/>
      <c r="BX39" s="838" t="s">
        <v>73</v>
      </c>
      <c r="BY39" s="304"/>
      <c r="BZ39" s="304"/>
      <c r="CA39" s="304"/>
      <c r="CB39" s="304"/>
      <c r="CC39" s="304"/>
      <c r="CD39" s="304"/>
      <c r="CE39" s="304"/>
      <c r="CF39" s="304"/>
      <c r="CG39" s="838" t="s">
        <v>73</v>
      </c>
      <c r="CH39" s="1466" t="s">
        <v>255</v>
      </c>
      <c r="CI39" s="304"/>
      <c r="CJ39" s="304"/>
      <c r="CK39" s="1525" t="s">
        <v>201</v>
      </c>
      <c r="CL39" s="1526"/>
      <c r="CM39" s="1526"/>
      <c r="CN39" s="1527"/>
      <c r="CO39" s="304"/>
      <c r="CP39" s="304"/>
      <c r="CQ39" s="304"/>
      <c r="CR39" s="304"/>
      <c r="CS39" s="304"/>
      <c r="CT39" s="304"/>
      <c r="CU39" s="304"/>
      <c r="CV39" s="304"/>
      <c r="CW39" s="304"/>
      <c r="CX39" s="304"/>
      <c r="CY39" s="304"/>
      <c r="CZ39" s="304"/>
      <c r="DA39" s="304"/>
      <c r="DB39" s="305"/>
      <c r="DC39" s="306"/>
      <c r="DD39" s="306"/>
    </row>
    <row r="40" spans="1:108" ht="12.75">
      <c r="A40" s="311" t="s">
        <v>193</v>
      </c>
      <c r="B40" s="311"/>
      <c r="C40" s="311"/>
      <c r="D40" s="311"/>
      <c r="H40" s="1483"/>
      <c r="I40" s="338"/>
      <c r="J40" s="338"/>
      <c r="K40" s="329"/>
      <c r="T40" s="1480"/>
      <c r="U40" s="1480"/>
      <c r="V40" s="1480"/>
      <c r="W40" s="1480"/>
      <c r="AA40" s="1480"/>
      <c r="AB40" s="318"/>
      <c r="AC40" s="318"/>
      <c r="AD40" s="318"/>
      <c r="AE40" s="331"/>
      <c r="AF40" s="331"/>
      <c r="AG40" s="318"/>
      <c r="AH40" s="331"/>
      <c r="AI40" s="331"/>
      <c r="AJ40" s="1480"/>
      <c r="AK40" s="1480"/>
      <c r="AL40" s="1480"/>
      <c r="AM40" s="1480"/>
      <c r="AN40" s="318"/>
      <c r="AO40" s="318"/>
      <c r="AP40" s="517"/>
      <c r="AZ40" s="1480"/>
      <c r="BA40" s="1480"/>
      <c r="BB40" s="1480"/>
      <c r="BC40" s="1480"/>
      <c r="BG40" s="1478"/>
      <c r="BN40" s="304"/>
      <c r="BO40" s="304"/>
      <c r="BP40" s="304"/>
      <c r="BQ40" s="304"/>
      <c r="BR40" s="304"/>
      <c r="BS40" s="304"/>
      <c r="BT40" s="304"/>
      <c r="BU40" s="304"/>
      <c r="BV40" s="304"/>
      <c r="BW40" s="304"/>
      <c r="BX40" s="315"/>
      <c r="BY40" s="304"/>
      <c r="BZ40" s="304"/>
      <c r="CA40" s="304"/>
      <c r="CB40" s="304"/>
      <c r="CC40" s="304"/>
      <c r="CD40" s="304"/>
      <c r="CE40" s="304"/>
      <c r="CF40" s="304"/>
      <c r="CG40" s="315"/>
      <c r="CH40" s="1466"/>
      <c r="CK40" s="1525"/>
      <c r="CL40" s="1526"/>
      <c r="CM40" s="1526"/>
      <c r="CN40" s="1527"/>
      <c r="DC40" s="306"/>
      <c r="DD40" s="306"/>
    </row>
    <row r="41" spans="1:108" ht="12.75">
      <c r="A41" s="311" t="s">
        <v>194</v>
      </c>
      <c r="B41" s="311"/>
      <c r="C41" s="311"/>
      <c r="D41" s="311"/>
      <c r="H41" s="1483"/>
      <c r="I41" s="338"/>
      <c r="J41" s="338"/>
      <c r="T41" s="1480"/>
      <c r="U41" s="1480"/>
      <c r="V41" s="1480"/>
      <c r="W41" s="1480"/>
      <c r="AJ41" s="1480"/>
      <c r="AK41" s="1480"/>
      <c r="AL41" s="1480"/>
      <c r="AM41" s="1480"/>
      <c r="AZ41" s="1480"/>
      <c r="BA41" s="1480"/>
      <c r="BB41" s="1480"/>
      <c r="BC41" s="1480"/>
      <c r="BG41" s="1478"/>
      <c r="BN41" s="304"/>
      <c r="BO41" s="304"/>
      <c r="BP41" s="304"/>
      <c r="BQ41" s="304"/>
      <c r="BR41" s="304"/>
      <c r="BS41" s="304"/>
      <c r="BT41" s="304"/>
      <c r="BU41" s="304"/>
      <c r="BV41" s="304"/>
      <c r="BW41" s="304"/>
      <c r="BX41" s="315"/>
      <c r="BY41" s="304"/>
      <c r="BZ41" s="304"/>
      <c r="CA41" s="304"/>
      <c r="CB41" s="304"/>
      <c r="CC41" s="304"/>
      <c r="CD41" s="304"/>
      <c r="CE41" s="304"/>
      <c r="CF41" s="304"/>
      <c r="CG41" s="315"/>
      <c r="CH41" s="1466"/>
      <c r="CK41" s="1528"/>
      <c r="CL41" s="1529"/>
      <c r="CM41" s="1529"/>
      <c r="CN41" s="1530"/>
      <c r="DC41" s="306"/>
      <c r="DD41" s="306"/>
    </row>
    <row r="42" spans="1:108" ht="12.75">
      <c r="A42" s="313" t="s">
        <v>204</v>
      </c>
      <c r="B42" s="311"/>
      <c r="C42" s="311"/>
      <c r="D42" s="311"/>
      <c r="T42" s="1481" t="s">
        <v>217</v>
      </c>
      <c r="U42" s="1481"/>
      <c r="V42" s="1481"/>
      <c r="W42" s="1481"/>
      <c r="X42" s="1481"/>
      <c r="Y42" s="1481"/>
      <c r="Z42" s="1481"/>
      <c r="AA42" s="1481"/>
      <c r="AB42" s="1481"/>
      <c r="AC42" s="1481"/>
      <c r="AD42" s="1481"/>
      <c r="AE42" s="1481"/>
      <c r="AF42" s="1481"/>
      <c r="AG42" s="1481"/>
      <c r="AH42" s="1481"/>
      <c r="AI42" s="1481"/>
      <c r="AJ42" s="1481"/>
      <c r="AK42" s="1481"/>
      <c r="AL42" s="1481"/>
      <c r="AM42" s="1481"/>
      <c r="AN42" s="1481"/>
      <c r="AO42" s="1481"/>
      <c r="AP42" s="1481"/>
      <c r="AQ42" s="1481"/>
      <c r="AR42" s="1481"/>
      <c r="AS42" s="1481"/>
      <c r="AT42" s="1481"/>
      <c r="AU42" s="1481"/>
      <c r="AV42" s="1481"/>
      <c r="AW42" s="1481"/>
      <c r="AX42" s="1481"/>
      <c r="AY42" s="1481"/>
      <c r="AZ42" s="1481"/>
      <c r="BA42" s="1481"/>
      <c r="BB42" s="1481"/>
      <c r="BC42" s="1481"/>
      <c r="BG42" s="1479"/>
      <c r="BN42" s="304"/>
      <c r="BO42" s="304"/>
      <c r="BP42" s="304"/>
      <c r="BQ42" s="304"/>
      <c r="BR42" s="304"/>
      <c r="BS42" s="304"/>
      <c r="BT42" s="304"/>
      <c r="BU42" s="304"/>
      <c r="BV42" s="304"/>
      <c r="BW42" s="304"/>
      <c r="BX42" s="315"/>
      <c r="BY42" s="304"/>
      <c r="BZ42" s="304"/>
      <c r="CA42" s="304"/>
      <c r="CB42" s="304"/>
      <c r="CC42" s="304"/>
      <c r="CD42" s="304"/>
      <c r="CE42" s="304"/>
      <c r="CF42" s="304"/>
      <c r="CG42" s="315"/>
      <c r="CH42" s="1466"/>
      <c r="DC42" s="306"/>
      <c r="DD42" s="306"/>
    </row>
    <row r="43" spans="1:108" ht="12.75">
      <c r="A43" s="311" t="s">
        <v>195</v>
      </c>
      <c r="B43" s="311"/>
      <c r="C43" s="311"/>
      <c r="D43" s="311"/>
      <c r="BC43" s="1482" t="s">
        <v>218</v>
      </c>
      <c r="BN43" s="304"/>
      <c r="BO43" s="304"/>
      <c r="BP43" s="304"/>
      <c r="BQ43" s="304"/>
      <c r="BR43" s="304"/>
      <c r="BS43" s="304"/>
      <c r="BT43" s="304"/>
      <c r="BU43" s="304"/>
      <c r="BV43" s="304"/>
      <c r="BW43" s="304"/>
      <c r="BX43" s="315"/>
      <c r="BY43" s="304"/>
      <c r="BZ43" s="304"/>
      <c r="CA43" s="304"/>
      <c r="CB43" s="304"/>
      <c r="CC43" s="304"/>
      <c r="CD43" s="304"/>
      <c r="CE43" s="304"/>
      <c r="CF43" s="304"/>
      <c r="CG43" s="315"/>
      <c r="CH43" s="1466"/>
      <c r="DC43" s="306"/>
      <c r="DD43" s="306"/>
    </row>
    <row r="44" spans="1:108" ht="12.75">
      <c r="A44" s="311" t="s">
        <v>196</v>
      </c>
      <c r="B44" s="311"/>
      <c r="C44" s="311"/>
      <c r="D44" s="311"/>
      <c r="BC44" s="1482"/>
      <c r="BN44" s="304"/>
      <c r="BO44" s="304"/>
      <c r="BP44" s="304"/>
      <c r="BQ44" s="304"/>
      <c r="BR44" s="304"/>
      <c r="BS44" s="304"/>
      <c r="BT44" s="304"/>
      <c r="BU44" s="304"/>
      <c r="BV44" s="304"/>
      <c r="BW44" s="304"/>
      <c r="BX44" s="315"/>
      <c r="BY44" s="304"/>
      <c r="BZ44" s="304"/>
      <c r="CA44" s="304"/>
      <c r="CB44" s="304"/>
      <c r="CC44" s="304"/>
      <c r="CD44" s="304"/>
      <c r="CE44" s="304"/>
      <c r="CF44" s="304"/>
      <c r="CG44" s="315"/>
      <c r="CH44" s="1466"/>
      <c r="DC44" s="306"/>
      <c r="DD44" s="306"/>
    </row>
    <row r="45" spans="1:108" ht="12.75">
      <c r="A45" s="311" t="s">
        <v>197</v>
      </c>
      <c r="B45" s="311"/>
      <c r="C45" s="311"/>
      <c r="D45" s="311"/>
      <c r="BC45" s="1482"/>
      <c r="BN45" s="304"/>
      <c r="BO45" s="304"/>
      <c r="BP45" s="304"/>
      <c r="BQ45" s="304"/>
      <c r="BR45" s="304"/>
      <c r="BS45" s="304"/>
      <c r="BT45" s="304"/>
      <c r="BU45" s="304"/>
      <c r="BV45" s="304"/>
      <c r="BW45" s="304"/>
      <c r="BX45" s="315"/>
      <c r="BY45" s="304"/>
      <c r="BZ45" s="304"/>
      <c r="CA45" s="304"/>
      <c r="CB45" s="304"/>
      <c r="CC45" s="304"/>
      <c r="CD45" s="304"/>
      <c r="CE45" s="304"/>
      <c r="CF45" s="304"/>
      <c r="CG45" s="315"/>
      <c r="CH45" s="1466"/>
      <c r="DC45" s="306"/>
      <c r="DD45" s="306"/>
    </row>
    <row r="46" spans="1:108" ht="12.75">
      <c r="A46" s="311" t="s">
        <v>198</v>
      </c>
      <c r="B46" s="311"/>
      <c r="C46" s="311"/>
      <c r="D46" s="311"/>
      <c r="BC46" s="1482"/>
      <c r="BN46" s="304"/>
      <c r="BO46" s="304"/>
      <c r="BP46" s="304"/>
      <c r="BQ46" s="304"/>
      <c r="BR46" s="304"/>
      <c r="BS46" s="304"/>
      <c r="BT46" s="304"/>
      <c r="BU46" s="304"/>
      <c r="BV46" s="304"/>
      <c r="BW46" s="304"/>
      <c r="BX46" s="315"/>
      <c r="BY46" s="304"/>
      <c r="BZ46" s="304"/>
      <c r="CA46" s="304"/>
      <c r="CB46" s="304"/>
      <c r="CC46" s="304"/>
      <c r="CD46" s="304"/>
      <c r="CE46" s="304"/>
      <c r="CF46" s="304"/>
      <c r="CG46" s="315"/>
      <c r="CH46" s="1466"/>
      <c r="DC46" s="306"/>
      <c r="DD46" s="306"/>
    </row>
    <row r="47" spans="1:108" ht="12.75">
      <c r="A47" s="311" t="s">
        <v>199</v>
      </c>
      <c r="B47" s="311"/>
      <c r="C47" s="311"/>
      <c r="D47" s="311"/>
      <c r="BC47" s="1482"/>
      <c r="BN47" s="304"/>
      <c r="BO47" s="304"/>
      <c r="BP47" s="304"/>
      <c r="BQ47" s="304"/>
      <c r="BR47" s="304"/>
      <c r="BS47" s="304"/>
      <c r="BT47" s="304"/>
      <c r="BU47" s="304"/>
      <c r="BV47" s="304"/>
      <c r="BW47" s="304"/>
      <c r="BX47" s="315"/>
      <c r="BY47" s="304"/>
      <c r="BZ47" s="304"/>
      <c r="CA47" s="304"/>
      <c r="CB47" s="304"/>
      <c r="CC47" s="304"/>
      <c r="CD47" s="304"/>
      <c r="CE47" s="304"/>
      <c r="CF47" s="304"/>
      <c r="CG47" s="315"/>
      <c r="CH47" s="539"/>
      <c r="CI47" s="304"/>
      <c r="CJ47" s="304"/>
      <c r="CK47" s="304"/>
      <c r="CL47" s="304"/>
      <c r="CM47" s="304"/>
      <c r="CN47" s="304"/>
      <c r="CO47" s="304"/>
      <c r="CP47" s="304"/>
      <c r="CQ47" s="304"/>
      <c r="CR47" s="304"/>
      <c r="CS47" s="304"/>
      <c r="CT47" s="304"/>
      <c r="CU47" s="304"/>
      <c r="CV47" s="304"/>
      <c r="CW47" s="304"/>
      <c r="CX47" s="304"/>
      <c r="CY47" s="304"/>
      <c r="CZ47" s="304"/>
      <c r="DA47" s="304"/>
      <c r="DB47" s="305"/>
      <c r="DC47" s="306"/>
      <c r="DD47" s="306"/>
    </row>
    <row r="48" spans="2:108" ht="12.75">
      <c r="B48" s="311"/>
      <c r="C48" s="311"/>
      <c r="D48" s="311"/>
      <c r="Q48" s="591" t="s">
        <v>274</v>
      </c>
      <c r="R48" s="317"/>
      <c r="S48" s="317"/>
      <c r="T48" s="17">
        <v>1.35</v>
      </c>
      <c r="AA48" s="590"/>
      <c r="AG48" s="591" t="s">
        <v>274</v>
      </c>
      <c r="AJ48" s="17">
        <v>15</v>
      </c>
      <c r="AK48" s="590" t="s">
        <v>273</v>
      </c>
      <c r="AT48" s="591" t="s">
        <v>274</v>
      </c>
      <c r="AU48" s="317"/>
      <c r="AV48" s="317"/>
      <c r="AW48" s="17">
        <v>11</v>
      </c>
      <c r="BM48" s="94">
        <f>1000*BM37/(T37*T48+AJ37*AJ48+AW37*AW48)</f>
        <v>99.62375850568777</v>
      </c>
      <c r="BN48" s="304"/>
      <c r="BO48" s="304"/>
      <c r="BP48" s="593" t="s">
        <v>272</v>
      </c>
      <c r="BQ48" s="304"/>
      <c r="BR48" s="304"/>
      <c r="BS48" s="304"/>
      <c r="BT48" s="304"/>
      <c r="BU48" s="304"/>
      <c r="BV48" s="304"/>
      <c r="BW48" s="304"/>
      <c r="BX48" s="315"/>
      <c r="BY48" s="304"/>
      <c r="BZ48" s="304"/>
      <c r="CA48" s="304"/>
      <c r="CB48" s="304"/>
      <c r="CC48" s="304"/>
      <c r="CD48" s="304"/>
      <c r="CE48" s="304"/>
      <c r="CF48" s="304"/>
      <c r="CG48" s="315"/>
      <c r="CJ48" s="304"/>
      <c r="CL48" s="304"/>
      <c r="CM48" s="304"/>
      <c r="CN48" s="304"/>
      <c r="CO48" s="304"/>
      <c r="CP48" s="304"/>
      <c r="CQ48" s="304"/>
      <c r="CR48" s="304"/>
      <c r="CS48" s="304"/>
      <c r="CT48" s="304"/>
      <c r="CU48" s="304"/>
      <c r="CV48" s="304"/>
      <c r="CW48" s="304"/>
      <c r="CX48" s="304"/>
      <c r="CY48" s="304"/>
      <c r="CZ48" s="304"/>
      <c r="DA48" s="304"/>
      <c r="DB48" s="305"/>
      <c r="DC48" s="306"/>
      <c r="DD48" s="306"/>
    </row>
    <row r="49" spans="1:108" ht="12.75">
      <c r="A49" s="313" t="s">
        <v>208</v>
      </c>
      <c r="B49" s="311"/>
      <c r="C49" s="311"/>
      <c r="D49" s="311"/>
      <c r="AT49" s="592"/>
      <c r="BN49" s="304"/>
      <c r="BO49" s="304"/>
      <c r="BP49" s="304"/>
      <c r="BQ49" s="304"/>
      <c r="BR49" s="304"/>
      <c r="BS49" s="304"/>
      <c r="BT49" s="304"/>
      <c r="BU49" s="304"/>
      <c r="BV49" s="304"/>
      <c r="BW49" s="304"/>
      <c r="BX49" s="315"/>
      <c r="BY49" s="304"/>
      <c r="BZ49" s="304"/>
      <c r="CA49" s="304"/>
      <c r="CB49" s="304"/>
      <c r="CC49" s="304"/>
      <c r="CD49" s="304"/>
      <c r="CE49" s="304"/>
      <c r="CF49" s="304"/>
      <c r="CG49" s="315"/>
      <c r="CJ49" s="304"/>
      <c r="CK49" s="304"/>
      <c r="CL49" s="304"/>
      <c r="CM49" s="304"/>
      <c r="CN49" s="304"/>
      <c r="CO49" s="304"/>
      <c r="CP49" s="304"/>
      <c r="CQ49" s="304"/>
      <c r="CR49" s="304"/>
      <c r="CS49" s="304"/>
      <c r="CT49" s="304"/>
      <c r="CU49" s="304"/>
      <c r="CV49" s="304"/>
      <c r="CW49" s="304"/>
      <c r="CX49" s="304"/>
      <c r="CY49" s="304"/>
      <c r="CZ49" s="304"/>
      <c r="DA49" s="304"/>
      <c r="DB49" s="305"/>
      <c r="DC49" s="306"/>
      <c r="DD49" s="306"/>
    </row>
    <row r="50" spans="1:108" ht="12.75">
      <c r="A50" s="313" t="s">
        <v>207</v>
      </c>
      <c r="BN50" s="304"/>
      <c r="BO50" s="304"/>
      <c r="BP50" s="304"/>
      <c r="BQ50" s="304"/>
      <c r="BR50" s="304"/>
      <c r="BS50" s="304"/>
      <c r="BT50" s="304"/>
      <c r="BU50" s="304"/>
      <c r="BV50" s="304"/>
      <c r="BW50" s="304"/>
      <c r="BX50" s="315"/>
      <c r="BY50" s="304"/>
      <c r="BZ50" s="304"/>
      <c r="CA50" s="304"/>
      <c r="CB50" s="304"/>
      <c r="CC50" s="304"/>
      <c r="CD50" s="304"/>
      <c r="CE50" s="304"/>
      <c r="CF50" s="304"/>
      <c r="CG50" s="315"/>
      <c r="CJ50" s="304"/>
      <c r="CK50" s="304"/>
      <c r="CL50" s="304"/>
      <c r="CM50" s="304"/>
      <c r="CN50" s="304"/>
      <c r="CO50" s="304"/>
      <c r="CP50" s="304"/>
      <c r="CQ50" s="304"/>
      <c r="CR50" s="304"/>
      <c r="CS50" s="304"/>
      <c r="CT50" s="304"/>
      <c r="CU50" s="304"/>
      <c r="CV50" s="304"/>
      <c r="CW50" s="304"/>
      <c r="CX50" s="304"/>
      <c r="CY50" s="304"/>
      <c r="CZ50" s="304"/>
      <c r="DA50" s="304"/>
      <c r="DB50" s="305"/>
      <c r="DC50" s="306"/>
      <c r="DD50" s="306"/>
    </row>
    <row r="51" spans="66:108" ht="12.75">
      <c r="BN51" s="304"/>
      <c r="BO51" s="304"/>
      <c r="BP51" s="304"/>
      <c r="BQ51" s="304"/>
      <c r="BR51" s="304"/>
      <c r="BS51" s="304"/>
      <c r="BT51" s="304"/>
      <c r="BU51" s="304"/>
      <c r="BV51" s="304"/>
      <c r="BW51" s="304"/>
      <c r="BX51" s="315"/>
      <c r="BY51" s="304"/>
      <c r="BZ51" s="304"/>
      <c r="CA51" s="304"/>
      <c r="CB51" s="304"/>
      <c r="CC51" s="304"/>
      <c r="CD51" s="304"/>
      <c r="CE51" s="304"/>
      <c r="CF51" s="304"/>
      <c r="CG51" s="315"/>
      <c r="CH51" s="304"/>
      <c r="CI51" s="304"/>
      <c r="CJ51" s="304"/>
      <c r="CK51" s="304"/>
      <c r="CL51" s="304"/>
      <c r="CM51" s="304"/>
      <c r="CN51" s="304"/>
      <c r="CO51" s="304"/>
      <c r="CP51" s="304"/>
      <c r="CQ51" s="304"/>
      <c r="CR51" s="304"/>
      <c r="CS51" s="304"/>
      <c r="CT51" s="304"/>
      <c r="CU51" s="304"/>
      <c r="CV51" s="304"/>
      <c r="CW51" s="304"/>
      <c r="CX51" s="304"/>
      <c r="CY51" s="304"/>
      <c r="CZ51" s="304"/>
      <c r="DA51" s="304"/>
      <c r="DB51" s="305"/>
      <c r="DC51" s="306"/>
      <c r="DD51" s="306"/>
    </row>
    <row r="52" spans="66:108" ht="12.75">
      <c r="BN52" s="304"/>
      <c r="BO52" s="304"/>
      <c r="BP52" s="304"/>
      <c r="BQ52" s="304"/>
      <c r="BR52" s="304"/>
      <c r="BS52" s="304"/>
      <c r="BT52" s="304"/>
      <c r="BU52" s="304"/>
      <c r="BV52" s="304"/>
      <c r="BW52" s="304"/>
      <c r="BX52" s="315"/>
      <c r="BY52" s="304"/>
      <c r="BZ52" s="304"/>
      <c r="CA52" s="304"/>
      <c r="CB52" s="304"/>
      <c r="CC52" s="304"/>
      <c r="CD52" s="304"/>
      <c r="CE52" s="304"/>
      <c r="CF52" s="304"/>
      <c r="CG52" s="315"/>
      <c r="CH52" s="304"/>
      <c r="CI52" s="304"/>
      <c r="CJ52" s="304"/>
      <c r="CK52" s="304"/>
      <c r="CL52" s="304"/>
      <c r="CM52" s="304"/>
      <c r="CN52" s="304"/>
      <c r="CO52" s="304"/>
      <c r="CP52" s="304"/>
      <c r="CQ52" s="304"/>
      <c r="CR52" s="304"/>
      <c r="CS52" s="304"/>
      <c r="CT52" s="304"/>
      <c r="CU52" s="304"/>
      <c r="CV52" s="304"/>
      <c r="CW52" s="304"/>
      <c r="CX52" s="304"/>
      <c r="CY52" s="304"/>
      <c r="CZ52" s="304"/>
      <c r="DA52" s="304"/>
      <c r="DB52" s="305"/>
      <c r="DC52" s="306"/>
      <c r="DD52" s="306"/>
    </row>
    <row r="53" spans="1:108" ht="15">
      <c r="A53" s="308"/>
      <c r="B53" s="303"/>
      <c r="C53" s="303"/>
      <c r="D53" s="303"/>
      <c r="E53" s="304"/>
      <c r="F53" s="304"/>
      <c r="G53" s="304"/>
      <c r="H53" s="315"/>
      <c r="I53" s="315"/>
      <c r="J53" s="315"/>
      <c r="K53" s="304"/>
      <c r="L53" s="304"/>
      <c r="M53" s="304"/>
      <c r="N53" s="303"/>
      <c r="O53" s="303"/>
      <c r="P53" s="303"/>
      <c r="Q53" s="303"/>
      <c r="R53" s="303"/>
      <c r="S53" s="303"/>
      <c r="T53" s="309"/>
      <c r="U53" s="309"/>
      <c r="V53" s="309"/>
      <c r="W53" s="309"/>
      <c r="X53" s="309"/>
      <c r="Y53" s="309"/>
      <c r="Z53" s="142"/>
      <c r="AA53" s="309"/>
      <c r="AB53" s="309"/>
      <c r="AC53" s="309"/>
      <c r="AD53" s="309"/>
      <c r="AE53" s="309"/>
      <c r="AF53" s="309"/>
      <c r="AG53" s="309"/>
      <c r="AH53" s="309"/>
      <c r="AI53" s="309"/>
      <c r="AJ53" s="309"/>
      <c r="AK53" s="309"/>
      <c r="AL53" s="309"/>
      <c r="AM53" s="309"/>
      <c r="AN53" s="309"/>
      <c r="AO53" s="309"/>
      <c r="AP53" s="142"/>
      <c r="AQ53" s="294"/>
      <c r="AR53" s="304"/>
      <c r="AS53" s="304"/>
      <c r="AT53" s="327"/>
      <c r="AU53" s="327"/>
      <c r="AV53" s="327"/>
      <c r="AW53" s="294"/>
      <c r="AX53" s="327"/>
      <c r="AY53" s="327"/>
      <c r="AZ53" s="294"/>
      <c r="BA53" s="294"/>
      <c r="BB53" s="294"/>
      <c r="BC53" s="294"/>
      <c r="BD53" s="294"/>
      <c r="BE53" s="294"/>
      <c r="BF53" s="315"/>
      <c r="BG53" s="294"/>
      <c r="BH53" s="304"/>
      <c r="BI53" s="304"/>
      <c r="BJ53" s="304"/>
      <c r="BK53" s="304"/>
      <c r="BL53" s="304"/>
      <c r="BM53" s="304"/>
      <c r="BN53" s="304"/>
      <c r="BO53" s="304"/>
      <c r="BP53" s="304"/>
      <c r="BQ53" s="304"/>
      <c r="BR53" s="304"/>
      <c r="BS53" s="304"/>
      <c r="BT53" s="304"/>
      <c r="BU53" s="304"/>
      <c r="BV53" s="304"/>
      <c r="BW53" s="304"/>
      <c r="BX53" s="315"/>
      <c r="BY53" s="304"/>
      <c r="BZ53" s="304"/>
      <c r="CA53" s="304"/>
      <c r="CB53" s="304"/>
      <c r="CC53" s="304"/>
      <c r="CD53" s="304"/>
      <c r="CE53" s="304"/>
      <c r="CF53" s="304"/>
      <c r="CG53" s="315"/>
      <c r="CH53" s="304"/>
      <c r="CI53" s="304"/>
      <c r="CJ53" s="304"/>
      <c r="CK53" s="304"/>
      <c r="CL53" s="304"/>
      <c r="CM53" s="304"/>
      <c r="CN53" s="304"/>
      <c r="CO53" s="304"/>
      <c r="CP53" s="304"/>
      <c r="CQ53" s="304"/>
      <c r="CR53" s="304"/>
      <c r="CS53" s="304"/>
      <c r="CT53" s="304"/>
      <c r="CU53" s="304"/>
      <c r="CV53" s="304"/>
      <c r="CW53" s="304"/>
      <c r="CX53" s="304"/>
      <c r="CY53" s="304"/>
      <c r="CZ53" s="304"/>
      <c r="DA53" s="304"/>
      <c r="DB53" s="305"/>
      <c r="DC53" s="306"/>
      <c r="DD53" s="306"/>
    </row>
    <row r="54" spans="66:108" ht="12.75">
      <c r="BN54" s="304"/>
      <c r="BO54" s="304"/>
      <c r="BP54" s="304"/>
      <c r="BQ54" s="304"/>
      <c r="BR54" s="304"/>
      <c r="BS54" s="304"/>
      <c r="BT54" s="304"/>
      <c r="BV54" s="304"/>
      <c r="BW54" s="304"/>
      <c r="BX54" s="315"/>
      <c r="BY54" s="304"/>
      <c r="BZ54" s="304"/>
      <c r="CA54" s="304"/>
      <c r="CB54" s="304"/>
      <c r="CC54" s="304"/>
      <c r="CE54" s="304"/>
      <c r="CF54" s="304"/>
      <c r="CG54" s="315"/>
      <c r="DC54" s="306"/>
      <c r="DD54" s="306"/>
    </row>
    <row r="55" spans="67:108" ht="12.75">
      <c r="BO55" s="304"/>
      <c r="BP55" s="304"/>
      <c r="BQ55" s="304"/>
      <c r="BR55" s="304"/>
      <c r="BS55" s="304"/>
      <c r="BT55" s="304"/>
      <c r="BV55" s="304"/>
      <c r="BW55" s="304"/>
      <c r="BX55" s="315"/>
      <c r="BY55" s="304"/>
      <c r="BZ55" s="304"/>
      <c r="CA55" s="304"/>
      <c r="CB55" s="304"/>
      <c r="CC55" s="304"/>
      <c r="CE55" s="304"/>
      <c r="CF55" s="304"/>
      <c r="CG55" s="315"/>
      <c r="DC55" s="306"/>
      <c r="DD55" s="306"/>
    </row>
    <row r="56" spans="67:108" ht="12.75">
      <c r="BO56" s="4"/>
      <c r="BP56" s="4"/>
      <c r="BQ56" s="4"/>
      <c r="BR56" s="4"/>
      <c r="BS56" s="4"/>
      <c r="BT56" s="4"/>
      <c r="BU56" s="315"/>
      <c r="BV56" s="315"/>
      <c r="BW56" s="315"/>
      <c r="BX56" s="315"/>
      <c r="BY56" s="315"/>
      <c r="BZ56" s="315"/>
      <c r="CA56" s="315"/>
      <c r="CB56" s="315"/>
      <c r="CC56" s="315"/>
      <c r="CE56" s="304"/>
      <c r="CF56" s="304"/>
      <c r="CG56" s="315"/>
      <c r="DC56" s="306"/>
      <c r="DD56" s="306"/>
    </row>
    <row r="57" spans="67:108" ht="12.75">
      <c r="BO57" s="4"/>
      <c r="BP57" s="4"/>
      <c r="BQ57" s="4"/>
      <c r="BR57" s="4"/>
      <c r="BS57" s="4"/>
      <c r="BT57" s="4"/>
      <c r="BU57" s="4"/>
      <c r="BV57" s="4"/>
      <c r="BW57" s="4"/>
      <c r="BY57" s="4"/>
      <c r="BZ57" s="4"/>
      <c r="CA57" s="4"/>
      <c r="CB57" s="4"/>
      <c r="CC57" s="4"/>
      <c r="CE57" s="304"/>
      <c r="CF57" s="304"/>
      <c r="CG57" s="315"/>
      <c r="DC57" s="306"/>
      <c r="DD57" s="306"/>
    </row>
    <row r="58" spans="66:108" ht="12.75">
      <c r="BN58" s="4"/>
      <c r="BO58" s="4"/>
      <c r="BP58" s="4"/>
      <c r="BQ58" s="4"/>
      <c r="BR58" s="4"/>
      <c r="BS58" s="4"/>
      <c r="BT58" s="4"/>
      <c r="BU58" s="4"/>
      <c r="BV58" s="4"/>
      <c r="BW58" s="4"/>
      <c r="BY58" s="4"/>
      <c r="BZ58" s="4"/>
      <c r="CA58" s="4"/>
      <c r="CB58" s="4"/>
      <c r="CC58" s="4"/>
      <c r="CE58" s="304"/>
      <c r="CF58" s="304"/>
      <c r="CG58" s="315"/>
      <c r="DC58" s="306"/>
      <c r="DD58" s="306"/>
    </row>
    <row r="59" spans="66:108" ht="12.75">
      <c r="BN59" s="4"/>
      <c r="BO59" s="4"/>
      <c r="BP59" s="4"/>
      <c r="BQ59" s="4"/>
      <c r="BR59" s="4"/>
      <c r="BS59" s="4"/>
      <c r="BT59" s="4"/>
      <c r="BU59" s="4"/>
      <c r="BV59" s="4"/>
      <c r="BW59" s="4"/>
      <c r="BY59" s="4"/>
      <c r="BZ59" s="4"/>
      <c r="CA59" s="4"/>
      <c r="CB59" s="4"/>
      <c r="CC59" s="4"/>
      <c r="CE59" s="304"/>
      <c r="CF59" s="304"/>
      <c r="CG59" s="315"/>
      <c r="DC59" s="306"/>
      <c r="DD59" s="306"/>
    </row>
    <row r="60" spans="66:108" ht="12.75">
      <c r="BN60" s="4"/>
      <c r="BO60" s="4"/>
      <c r="BP60" s="4"/>
      <c r="BQ60" s="4"/>
      <c r="BR60" s="4"/>
      <c r="BS60" s="4"/>
      <c r="BT60" s="4"/>
      <c r="BU60" s="4"/>
      <c r="BV60" s="4"/>
      <c r="BW60" s="4"/>
      <c r="BY60" s="4"/>
      <c r="BZ60" s="4"/>
      <c r="CA60" s="4"/>
      <c r="CB60" s="4"/>
      <c r="CC60" s="4"/>
      <c r="CE60" s="294"/>
      <c r="CF60" s="294"/>
      <c r="CG60" s="315"/>
      <c r="DC60" s="310"/>
      <c r="DD60" s="310"/>
    </row>
    <row r="61" spans="66:108" ht="12.75">
      <c r="BN61" s="4"/>
      <c r="BO61" s="4"/>
      <c r="BP61" s="4"/>
      <c r="BQ61" s="4"/>
      <c r="BR61" s="4"/>
      <c r="BS61" s="4"/>
      <c r="BT61" s="4"/>
      <c r="BU61" s="4"/>
      <c r="BV61" s="4"/>
      <c r="BW61" s="4"/>
      <c r="BY61" s="4"/>
      <c r="BZ61" s="4"/>
      <c r="CA61" s="4"/>
      <c r="CB61" s="4"/>
      <c r="CC61" s="4"/>
      <c r="CE61" s="294"/>
      <c r="CF61" s="294"/>
      <c r="CG61" s="315"/>
      <c r="DC61" s="310"/>
      <c r="DD61" s="310"/>
    </row>
    <row r="62" spans="83:108" ht="12.75" customHeight="1">
      <c r="CE62" s="304"/>
      <c r="CF62" s="304"/>
      <c r="CG62" s="315"/>
      <c r="DC62" s="306"/>
      <c r="DD62" s="306"/>
    </row>
    <row r="66" ht="12.75" customHeight="1"/>
  </sheetData>
  <mergeCells count="90">
    <mergeCell ref="AP3:AP4"/>
    <mergeCell ref="BX2:BX4"/>
    <mergeCell ref="CD2:CD3"/>
    <mergeCell ref="AQ2:BE2"/>
    <mergeCell ref="AE3:AE4"/>
    <mergeCell ref="AF3:AF4"/>
    <mergeCell ref="AH3:AH4"/>
    <mergeCell ref="AI3:AI4"/>
    <mergeCell ref="AU3:AU4"/>
    <mergeCell ref="AV3:AV4"/>
    <mergeCell ref="CV3:CV4"/>
    <mergeCell ref="CX3:CX4"/>
    <mergeCell ref="CY3:CY4"/>
    <mergeCell ref="E1:BO1"/>
    <mergeCell ref="CO3:CO4"/>
    <mergeCell ref="CP3:CP4"/>
    <mergeCell ref="CR3:CR4"/>
    <mergeCell ref="CS3:CS4"/>
    <mergeCell ref="CU3:CU4"/>
    <mergeCell ref="CF3:CF4"/>
    <mergeCell ref="CI3:CI4"/>
    <mergeCell ref="CJ3:CJ4"/>
    <mergeCell ref="CL3:CL4"/>
    <mergeCell ref="CM3:CM4"/>
    <mergeCell ref="BN3:BN4"/>
    <mergeCell ref="BO3:BO4"/>
    <mergeCell ref="CK39:CN41"/>
    <mergeCell ref="BK3:BK4"/>
    <mergeCell ref="BL3:BL4"/>
    <mergeCell ref="AQ3:AQ4"/>
    <mergeCell ref="AT3:AT4"/>
    <mergeCell ref="AR3:AR4"/>
    <mergeCell ref="AS3:AS4"/>
    <mergeCell ref="AX3:AX4"/>
    <mergeCell ref="AY3:AY4"/>
    <mergeCell ref="BA3:BA4"/>
    <mergeCell ref="BV3:BV4"/>
    <mergeCell ref="BW3:BW4"/>
    <mergeCell ref="CE3:CE4"/>
    <mergeCell ref="BB3:BB4"/>
    <mergeCell ref="BD3:BD4"/>
    <mergeCell ref="AZ39:BC41"/>
    <mergeCell ref="CQ1:DA2"/>
    <mergeCell ref="DB1:DB3"/>
    <mergeCell ref="BG2:BJ2"/>
    <mergeCell ref="N2:W2"/>
    <mergeCell ref="AG3:AG4"/>
    <mergeCell ref="CZ4:DA4"/>
    <mergeCell ref="N3:N4"/>
    <mergeCell ref="Q3:Q4"/>
    <mergeCell ref="AA3:AA4"/>
    <mergeCell ref="AD3:AD4"/>
    <mergeCell ref="O3:O4"/>
    <mergeCell ref="P3:P4"/>
    <mergeCell ref="Y3:Y4"/>
    <mergeCell ref="AB3:AB4"/>
    <mergeCell ref="U3:U4"/>
    <mergeCell ref="V3:V4"/>
    <mergeCell ref="CK1:CN1"/>
    <mergeCell ref="K3:M3"/>
    <mergeCell ref="E2:M2"/>
    <mergeCell ref="AC3:AC4"/>
    <mergeCell ref="AK3:AK4"/>
    <mergeCell ref="AL3:AL4"/>
    <mergeCell ref="AN3:AN4"/>
    <mergeCell ref="AO3:AO4"/>
    <mergeCell ref="BE3:BE4"/>
    <mergeCell ref="BH3:BH4"/>
    <mergeCell ref="BI3:BI4"/>
    <mergeCell ref="BP1:CH1"/>
    <mergeCell ref="E3:H3"/>
    <mergeCell ref="X3:X4"/>
    <mergeCell ref="BU2:BU3"/>
    <mergeCell ref="CG2:CG4"/>
    <mergeCell ref="CH39:CH46"/>
    <mergeCell ref="BP2:BT2"/>
    <mergeCell ref="BY2:CC2"/>
    <mergeCell ref="A1:A4"/>
    <mergeCell ref="B1:B4"/>
    <mergeCell ref="C1:C4"/>
    <mergeCell ref="BG39:BG42"/>
    <mergeCell ref="AJ39:AM41"/>
    <mergeCell ref="T42:BC42"/>
    <mergeCell ref="BC43:BC47"/>
    <mergeCell ref="AA39:AA40"/>
    <mergeCell ref="T39:W41"/>
    <mergeCell ref="H39:H41"/>
    <mergeCell ref="BF3:BF4"/>
    <mergeCell ref="Z3:Z4"/>
    <mergeCell ref="AA2:AP2"/>
  </mergeCells>
  <printOptions/>
  <pageMargins left="0.2362204724409449" right="0.2362204724409449" top="0.7480314960629921" bottom="0.7480314960629921" header="0.31496062992125984" footer="0.31496062992125984"/>
  <pageSetup fitToWidth="0" fitToHeight="1" horizontalDpi="600" verticalDpi="600" orientation="landscape" paperSize="9" scale="88" r:id="rId33"/>
  <legacyDrawing r:id="rId32"/>
  <controls>
    <control shapeId="5134" r:id="rId1" name="Control 14"/>
    <control shapeId="5133" r:id="rId2" name="Control 13"/>
    <control shapeId="5132" r:id="rId3" name="Control 12"/>
    <control shapeId="5131" r:id="rId21" name="Control 11"/>
    <control shapeId="5130" r:id="rId22" name="Control 10"/>
    <control shapeId="5129" r:id="rId23" name="Control 9"/>
    <control shapeId="5128" r:id="rId24" name="Control 8"/>
    <control shapeId="5127" r:id="rId25" name="Control 7"/>
    <control shapeId="5126" r:id="rId26" name="Control 6"/>
    <control shapeId="5125" r:id="rId27" name="Control 5"/>
    <control shapeId="5124" r:id="rId28" name="Control 4"/>
    <control shapeId="5123" r:id="rId29" name="Control 3"/>
    <control shapeId="5122" r:id="rId30" name="Control 2"/>
    <control shapeId="5121" r:id="rId31" name="Control 1"/>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workbookViewId="0" topLeftCell="A1">
      <selection activeCell="I43" sqref="I43"/>
    </sheetView>
  </sheetViews>
  <sheetFormatPr defaultColWidth="9.140625" defaultRowHeight="12.75"/>
  <cols>
    <col min="1" max="1" width="13.8515625" style="0" customWidth="1"/>
    <col min="2" max="2" width="3.421875" style="0" customWidth="1"/>
    <col min="3" max="3" width="3.7109375" style="0" customWidth="1"/>
    <col min="4" max="4" width="12.7109375" style="0" customWidth="1"/>
    <col min="5" max="5" width="12.28125" style="0" customWidth="1"/>
    <col min="7" max="7" width="11.57421875" style="0" customWidth="1"/>
    <col min="9" max="9" width="12.140625" style="0" customWidth="1"/>
  </cols>
  <sheetData>
    <row r="1" spans="1:15" ht="12.75" customHeight="1">
      <c r="A1" s="1541" t="s">
        <v>402</v>
      </c>
      <c r="B1" s="1472" t="s">
        <v>143</v>
      </c>
      <c r="C1" s="1538" t="s">
        <v>144</v>
      </c>
      <c r="D1" s="1543" t="s">
        <v>403</v>
      </c>
      <c r="E1" s="1401" t="s">
        <v>397</v>
      </c>
      <c r="F1" s="1401" t="s">
        <v>398</v>
      </c>
      <c r="G1" s="1401" t="s">
        <v>397</v>
      </c>
      <c r="H1" s="1401" t="s">
        <v>398</v>
      </c>
      <c r="I1" s="1401" t="s">
        <v>438</v>
      </c>
      <c r="J1" s="65"/>
      <c r="K1" s="65"/>
      <c r="L1" s="65"/>
      <c r="M1" s="65"/>
      <c r="N1" s="65"/>
      <c r="O1" s="65"/>
    </row>
    <row r="2" spans="1:15" ht="12.75">
      <c r="A2" s="1541"/>
      <c r="B2" s="1473"/>
      <c r="C2" s="1539"/>
      <c r="D2" s="1543"/>
      <c r="E2" s="1401"/>
      <c r="F2" s="1401"/>
      <c r="G2" s="1401"/>
      <c r="H2" s="1401"/>
      <c r="I2" s="1546"/>
      <c r="J2" s="65"/>
      <c r="K2" s="65"/>
      <c r="L2" s="65"/>
      <c r="M2" s="65"/>
      <c r="N2" s="65"/>
      <c r="O2" s="65"/>
    </row>
    <row r="3" spans="1:22" ht="12.75">
      <c r="A3" s="1541"/>
      <c r="B3" s="1473"/>
      <c r="C3" s="1539"/>
      <c r="D3" s="1543"/>
      <c r="E3" s="1401"/>
      <c r="F3" s="1401"/>
      <c r="G3" s="1401"/>
      <c r="H3" s="1401"/>
      <c r="I3" s="1546"/>
      <c r="J3" s="65"/>
      <c r="L3" s="580" t="s">
        <v>437</v>
      </c>
      <c r="V3" s="94"/>
    </row>
    <row r="4" spans="1:22" ht="12.75" customHeight="1" thickBot="1">
      <c r="A4" s="1542"/>
      <c r="B4" s="1474"/>
      <c r="C4" s="1540"/>
      <c r="D4" s="1544"/>
      <c r="E4" s="1545" t="s">
        <v>404</v>
      </c>
      <c r="F4" s="1545"/>
      <c r="G4" s="1545" t="s">
        <v>405</v>
      </c>
      <c r="H4" s="1545"/>
      <c r="I4" s="1342" t="s">
        <v>424</v>
      </c>
      <c r="J4" s="65"/>
      <c r="V4" s="94"/>
    </row>
    <row r="5" spans="1:22" ht="12.75">
      <c r="A5" s="580" t="s">
        <v>395</v>
      </c>
      <c r="B5" s="361">
        <v>1</v>
      </c>
      <c r="C5" s="363">
        <v>1</v>
      </c>
      <c r="D5" s="1227">
        <v>8.421900161030596</v>
      </c>
      <c r="E5" s="1229">
        <v>27</v>
      </c>
      <c r="F5" s="1229">
        <v>189</v>
      </c>
      <c r="G5" s="1235">
        <f aca="true" t="shared" si="0" ref="G5:G37">100*E5/$D5</f>
        <v>320.5927342256214</v>
      </c>
      <c r="H5" s="340">
        <f aca="true" t="shared" si="1" ref="H5:H34">100*F5/$D5</f>
        <v>2244.14913957935</v>
      </c>
      <c r="I5" s="1228">
        <v>18.9</v>
      </c>
      <c r="J5" s="1368">
        <f>D5*I5</f>
        <v>159.17391304347825</v>
      </c>
      <c r="V5" s="94"/>
    </row>
    <row r="6" spans="1:22" ht="12.75">
      <c r="A6" t="s">
        <v>165</v>
      </c>
      <c r="B6" s="361">
        <v>1</v>
      </c>
      <c r="C6" s="363">
        <v>1</v>
      </c>
      <c r="D6" s="1227">
        <v>11.014120667522464</v>
      </c>
      <c r="E6" s="1229">
        <v>55</v>
      </c>
      <c r="F6" s="1229">
        <v>209</v>
      </c>
      <c r="G6" s="1235">
        <f t="shared" si="0"/>
        <v>499.35897435897436</v>
      </c>
      <c r="H6" s="340">
        <f t="shared" si="1"/>
        <v>1897.5641025641028</v>
      </c>
      <c r="I6" s="1228">
        <v>17.6</v>
      </c>
      <c r="J6" s="1368">
        <f aca="true" t="shared" si="2" ref="J6:J34">D6*I6</f>
        <v>193.8485237483954</v>
      </c>
      <c r="V6" s="94"/>
    </row>
    <row r="7" spans="1:27" ht="12.75">
      <c r="A7" t="s">
        <v>166</v>
      </c>
      <c r="B7" s="361">
        <v>1</v>
      </c>
      <c r="C7" s="299" t="s">
        <v>167</v>
      </c>
      <c r="D7" s="1227">
        <v>7.348993288590604</v>
      </c>
      <c r="E7" s="1229">
        <v>32</v>
      </c>
      <c r="F7" s="1229">
        <v>526</v>
      </c>
      <c r="G7" s="1235">
        <f t="shared" si="0"/>
        <v>435.4337899543379</v>
      </c>
      <c r="H7" s="340">
        <f t="shared" si="1"/>
        <v>7157.442922374429</v>
      </c>
      <c r="I7" s="1228">
        <v>31.4</v>
      </c>
      <c r="J7" s="1368">
        <f t="shared" si="2"/>
        <v>230.75838926174495</v>
      </c>
      <c r="K7">
        <v>40</v>
      </c>
      <c r="V7" s="94"/>
      <c r="AA7" s="1366">
        <v>40</v>
      </c>
    </row>
    <row r="8" spans="1:27" ht="12.75">
      <c r="A8" t="s">
        <v>168</v>
      </c>
      <c r="B8" s="361">
        <v>1</v>
      </c>
      <c r="C8" s="299" t="s">
        <v>167</v>
      </c>
      <c r="D8" s="1227">
        <v>0.8513341804320202</v>
      </c>
      <c r="E8" s="1229">
        <v>1</v>
      </c>
      <c r="F8" s="1229">
        <v>21</v>
      </c>
      <c r="G8" s="1235">
        <f t="shared" si="0"/>
        <v>117.46268656716418</v>
      </c>
      <c r="H8" s="340">
        <f t="shared" si="1"/>
        <v>2466.716417910448</v>
      </c>
      <c r="I8" s="1228">
        <v>21.3</v>
      </c>
      <c r="J8" s="1368">
        <f t="shared" si="2"/>
        <v>18.13341804320203</v>
      </c>
      <c r="V8" s="94"/>
      <c r="AA8" s="1366"/>
    </row>
    <row r="9" spans="1:27" ht="12.75">
      <c r="A9" t="s">
        <v>169</v>
      </c>
      <c r="B9" s="361">
        <v>1</v>
      </c>
      <c r="C9" s="363">
        <v>1</v>
      </c>
      <c r="D9" s="1227">
        <v>10.5</v>
      </c>
      <c r="E9" s="1229">
        <v>52</v>
      </c>
      <c r="F9" s="1229">
        <v>352</v>
      </c>
      <c r="G9" s="1235">
        <f t="shared" si="0"/>
        <v>495.23809523809524</v>
      </c>
      <c r="H9" s="340">
        <f t="shared" si="1"/>
        <v>3352.3809523809523</v>
      </c>
      <c r="I9" s="1228">
        <v>23</v>
      </c>
      <c r="J9" s="1368">
        <f t="shared" si="2"/>
        <v>241.5</v>
      </c>
      <c r="V9" s="94"/>
      <c r="AA9" s="1366"/>
    </row>
    <row r="10" spans="1:27" ht="12.75">
      <c r="A10" s="580" t="s">
        <v>356</v>
      </c>
      <c r="B10" s="361">
        <v>1</v>
      </c>
      <c r="C10" s="363">
        <v>1</v>
      </c>
      <c r="D10" s="1227">
        <v>5.641025641025641</v>
      </c>
      <c r="E10" s="1229">
        <v>26</v>
      </c>
      <c r="F10" s="1229">
        <v>114</v>
      </c>
      <c r="G10" s="1235">
        <f t="shared" si="0"/>
        <v>460.9090909090909</v>
      </c>
      <c r="H10" s="340">
        <f t="shared" si="1"/>
        <v>2020.9090909090908</v>
      </c>
      <c r="I10" s="1228">
        <v>14</v>
      </c>
      <c r="J10" s="1368">
        <f t="shared" si="2"/>
        <v>78.97435897435898</v>
      </c>
      <c r="V10" s="94"/>
      <c r="AA10" s="1366"/>
    </row>
    <row r="11" spans="1:27" ht="12.75">
      <c r="A11" t="s">
        <v>170</v>
      </c>
      <c r="B11" s="361">
        <v>1</v>
      </c>
      <c r="C11" s="299" t="s">
        <v>167</v>
      </c>
      <c r="D11" s="1227">
        <v>1.339522546419098</v>
      </c>
      <c r="E11" s="1229">
        <v>5</v>
      </c>
      <c r="F11" s="1229">
        <v>65</v>
      </c>
      <c r="G11" s="1235">
        <f t="shared" si="0"/>
        <v>373.26732673267327</v>
      </c>
      <c r="H11" s="340">
        <f t="shared" si="1"/>
        <v>4852.475247524752</v>
      </c>
      <c r="I11" s="1228">
        <v>19.5</v>
      </c>
      <c r="J11" s="1368">
        <f t="shared" si="2"/>
        <v>26.120689655172413</v>
      </c>
      <c r="V11" s="94"/>
      <c r="AA11" s="1366"/>
    </row>
    <row r="12" spans="1:27" ht="12.75">
      <c r="A12" t="s">
        <v>171</v>
      </c>
      <c r="B12" s="361">
        <v>1</v>
      </c>
      <c r="C12" s="363">
        <v>1</v>
      </c>
      <c r="D12" s="1227">
        <v>5.387453874538745</v>
      </c>
      <c r="E12" s="1229">
        <v>14</v>
      </c>
      <c r="F12" s="1229">
        <v>122</v>
      </c>
      <c r="G12" s="1235">
        <f t="shared" si="0"/>
        <v>259.86301369863014</v>
      </c>
      <c r="H12" s="340">
        <f t="shared" si="1"/>
        <v>2264.5205479452056</v>
      </c>
      <c r="I12" s="1228">
        <v>7.3</v>
      </c>
      <c r="J12" s="1368">
        <f t="shared" si="2"/>
        <v>39.32841328413284</v>
      </c>
      <c r="K12">
        <v>30</v>
      </c>
      <c r="V12" s="94"/>
      <c r="AA12" s="1366">
        <v>30</v>
      </c>
    </row>
    <row r="13" spans="1:27" ht="12.75">
      <c r="A13" t="s">
        <v>172</v>
      </c>
      <c r="B13" s="361">
        <v>1</v>
      </c>
      <c r="C13" s="363">
        <v>1</v>
      </c>
      <c r="D13" s="1227">
        <v>65.18092105263158</v>
      </c>
      <c r="E13" s="1229">
        <v>243</v>
      </c>
      <c r="F13" s="1229">
        <v>857</v>
      </c>
      <c r="G13" s="1235">
        <f t="shared" si="0"/>
        <v>372.8084784254353</v>
      </c>
      <c r="H13" s="340">
        <f t="shared" si="1"/>
        <v>1314.8019177390865</v>
      </c>
      <c r="I13" s="1228">
        <v>17.9</v>
      </c>
      <c r="J13" s="1368">
        <f t="shared" si="2"/>
        <v>1166.7384868421052</v>
      </c>
      <c r="V13" s="94"/>
      <c r="AA13" s="1366"/>
    </row>
    <row r="14" spans="1:27" ht="12.75">
      <c r="A14" t="s">
        <v>173</v>
      </c>
      <c r="B14" s="361">
        <v>1</v>
      </c>
      <c r="C14" s="363">
        <v>1</v>
      </c>
      <c r="D14" s="1227">
        <v>81.81632653061224</v>
      </c>
      <c r="E14" s="1229">
        <v>354</v>
      </c>
      <c r="F14" s="1229">
        <v>2070</v>
      </c>
      <c r="G14" s="1235">
        <f t="shared" si="0"/>
        <v>432.6764779246695</v>
      </c>
      <c r="H14" s="340">
        <f t="shared" si="1"/>
        <v>2530.05737091544</v>
      </c>
      <c r="I14" s="1228">
        <v>16.8</v>
      </c>
      <c r="J14" s="1368">
        <f t="shared" si="2"/>
        <v>1374.5142857142857</v>
      </c>
      <c r="V14" s="94"/>
      <c r="AA14" s="1366"/>
    </row>
    <row r="15" spans="1:27" ht="12.75">
      <c r="A15" t="s">
        <v>174</v>
      </c>
      <c r="B15" s="361">
        <v>1</v>
      </c>
      <c r="C15" s="363">
        <v>1</v>
      </c>
      <c r="D15" s="1227">
        <v>10.815165876777252</v>
      </c>
      <c r="E15" s="1229">
        <v>49</v>
      </c>
      <c r="F15" s="1229">
        <v>341</v>
      </c>
      <c r="G15" s="1235">
        <f t="shared" si="0"/>
        <v>453.06748466257665</v>
      </c>
      <c r="H15" s="340">
        <f t="shared" si="1"/>
        <v>3152.9798422436456</v>
      </c>
      <c r="I15" s="1228">
        <v>19.4</v>
      </c>
      <c r="J15" s="1368">
        <f t="shared" si="2"/>
        <v>209.81421800947868</v>
      </c>
      <c r="V15" s="94"/>
      <c r="AA15" s="1366"/>
    </row>
    <row r="16" spans="1:27" ht="12.75">
      <c r="A16" t="s">
        <v>175</v>
      </c>
      <c r="B16" s="361">
        <v>1</v>
      </c>
      <c r="C16" s="363">
        <v>1</v>
      </c>
      <c r="D16" s="1227">
        <v>9.96875</v>
      </c>
      <c r="E16" s="1229">
        <v>76</v>
      </c>
      <c r="F16" s="1229">
        <v>410</v>
      </c>
      <c r="G16" s="1235">
        <f t="shared" si="0"/>
        <v>762.3824451410659</v>
      </c>
      <c r="H16" s="340">
        <f t="shared" si="1"/>
        <v>4112.852664576802</v>
      </c>
      <c r="I16" s="1228">
        <v>22.6</v>
      </c>
      <c r="J16" s="1368">
        <f t="shared" si="2"/>
        <v>225.29375000000002</v>
      </c>
      <c r="V16" s="94"/>
      <c r="AA16" s="1366"/>
    </row>
    <row r="17" spans="1:27" ht="12.75">
      <c r="A17" s="580" t="s">
        <v>327</v>
      </c>
      <c r="B17" s="361">
        <v>1</v>
      </c>
      <c r="C17" s="363">
        <v>1</v>
      </c>
      <c r="D17" s="1227">
        <v>4.520255863539446</v>
      </c>
      <c r="E17" s="1229">
        <v>12</v>
      </c>
      <c r="F17" s="1229">
        <v>77</v>
      </c>
      <c r="G17" s="1235">
        <f t="shared" si="0"/>
        <v>265.47169811320754</v>
      </c>
      <c r="H17" s="340">
        <f t="shared" si="1"/>
        <v>1703.443396226415</v>
      </c>
      <c r="I17" s="1228">
        <v>10.8</v>
      </c>
      <c r="J17" s="1368">
        <f t="shared" si="2"/>
        <v>48.81876332622602</v>
      </c>
      <c r="K17">
        <v>20</v>
      </c>
      <c r="V17" s="94"/>
      <c r="AA17" s="1366">
        <v>20</v>
      </c>
    </row>
    <row r="18" spans="1:27" ht="12.75">
      <c r="A18" t="s">
        <v>177</v>
      </c>
      <c r="B18" s="361">
        <v>1</v>
      </c>
      <c r="C18" s="363">
        <v>1</v>
      </c>
      <c r="D18" s="1227">
        <v>60.691823899371066</v>
      </c>
      <c r="E18" s="1229">
        <v>238</v>
      </c>
      <c r="F18" s="1229">
        <v>1222</v>
      </c>
      <c r="G18" s="1235">
        <f t="shared" si="0"/>
        <v>392.14507772020727</v>
      </c>
      <c r="H18" s="340">
        <f t="shared" si="1"/>
        <v>2013.4507772020727</v>
      </c>
      <c r="I18" s="1228">
        <v>21.5</v>
      </c>
      <c r="J18" s="1368">
        <f t="shared" si="2"/>
        <v>1304.874213836478</v>
      </c>
      <c r="V18" s="94"/>
      <c r="AA18" s="1366"/>
    </row>
    <row r="19" spans="1:27" ht="12.75">
      <c r="A19" t="s">
        <v>178</v>
      </c>
      <c r="B19" s="361">
        <v>1</v>
      </c>
      <c r="C19" s="480" t="s">
        <v>167</v>
      </c>
      <c r="D19" s="1227">
        <v>2.057471264367816</v>
      </c>
      <c r="E19" s="1229">
        <v>10</v>
      </c>
      <c r="F19" s="1229">
        <v>130</v>
      </c>
      <c r="G19" s="1235">
        <f t="shared" si="0"/>
        <v>486.0335195530726</v>
      </c>
      <c r="H19" s="340">
        <f t="shared" si="1"/>
        <v>6318.435754189944</v>
      </c>
      <c r="I19" s="1228">
        <v>15.1</v>
      </c>
      <c r="J19" s="1368">
        <f t="shared" si="2"/>
        <v>31.067816091954022</v>
      </c>
      <c r="V19" s="94"/>
      <c r="AA19" s="1366"/>
    </row>
    <row r="20" spans="1:27" ht="12.75">
      <c r="A20" t="s">
        <v>179</v>
      </c>
      <c r="B20" s="361">
        <v>1</v>
      </c>
      <c r="C20" s="480" t="s">
        <v>167</v>
      </c>
      <c r="D20" s="1227">
        <v>3.029682702149437</v>
      </c>
      <c r="E20" s="1229">
        <v>13</v>
      </c>
      <c r="F20" s="1229">
        <v>138</v>
      </c>
      <c r="G20" s="1235">
        <f t="shared" si="0"/>
        <v>429.08783783783787</v>
      </c>
      <c r="H20" s="340">
        <f t="shared" si="1"/>
        <v>4554.9324324324325</v>
      </c>
      <c r="I20" s="1228">
        <v>12.7</v>
      </c>
      <c r="J20" s="1368">
        <f t="shared" si="2"/>
        <v>38.47697031729785</v>
      </c>
      <c r="V20" s="94"/>
      <c r="AA20" s="1366"/>
    </row>
    <row r="21" spans="1:27" ht="12.75">
      <c r="A21" t="s">
        <v>180</v>
      </c>
      <c r="B21" s="361">
        <v>1</v>
      </c>
      <c r="C21" s="363">
        <v>1</v>
      </c>
      <c r="D21" s="1227">
        <v>0.5246422893481717</v>
      </c>
      <c r="E21" s="1229">
        <v>2</v>
      </c>
      <c r="F21" s="1229">
        <v>9</v>
      </c>
      <c r="G21" s="1235">
        <f t="shared" si="0"/>
        <v>381.2121212121212</v>
      </c>
      <c r="H21" s="340">
        <f t="shared" si="1"/>
        <v>1715.4545454545455</v>
      </c>
      <c r="I21" s="1228">
        <v>15.9</v>
      </c>
      <c r="J21" s="1368">
        <f t="shared" si="2"/>
        <v>8.34181240063593</v>
      </c>
      <c r="V21" s="94"/>
      <c r="AA21" s="1366"/>
    </row>
    <row r="22" spans="1:27" ht="12.75">
      <c r="A22" t="s">
        <v>181</v>
      </c>
      <c r="B22" s="361">
        <v>1</v>
      </c>
      <c r="C22" s="299" t="s">
        <v>167</v>
      </c>
      <c r="D22" s="1227">
        <v>0.4166666666666667</v>
      </c>
      <c r="E22" s="1229">
        <v>1</v>
      </c>
      <c r="F22" s="1229">
        <v>8</v>
      </c>
      <c r="G22" s="1235">
        <f t="shared" si="0"/>
        <v>240</v>
      </c>
      <c r="H22" s="340">
        <f t="shared" si="1"/>
        <v>1920</v>
      </c>
      <c r="I22" s="1228">
        <v>13.6</v>
      </c>
      <c r="J22" s="1368">
        <f t="shared" si="2"/>
        <v>5.666666666666667</v>
      </c>
      <c r="K22">
        <v>10</v>
      </c>
      <c r="V22" s="94"/>
      <c r="AA22" s="1366">
        <v>10</v>
      </c>
    </row>
    <row r="23" spans="1:27" ht="12.75">
      <c r="A23" t="s">
        <v>182</v>
      </c>
      <c r="B23" s="361">
        <v>1</v>
      </c>
      <c r="C23" s="363">
        <v>1</v>
      </c>
      <c r="D23" s="1227">
        <v>16.69191919191919</v>
      </c>
      <c r="E23" s="1229">
        <v>73</v>
      </c>
      <c r="F23" s="1229">
        <v>307</v>
      </c>
      <c r="G23" s="1235">
        <f t="shared" si="0"/>
        <v>437.33736762481095</v>
      </c>
      <c r="H23" s="340">
        <f t="shared" si="1"/>
        <v>1839.2133131618762</v>
      </c>
      <c r="I23" s="1228">
        <v>17</v>
      </c>
      <c r="J23" s="1368">
        <f t="shared" si="2"/>
        <v>283.7626262626262</v>
      </c>
      <c r="V23" s="94"/>
      <c r="AA23" s="1366"/>
    </row>
    <row r="24" spans="1:27" ht="12.75">
      <c r="A24" t="s">
        <v>183</v>
      </c>
      <c r="B24" s="298" t="s">
        <v>167</v>
      </c>
      <c r="C24" s="363">
        <v>1</v>
      </c>
      <c r="D24" s="1227">
        <v>4.955752212389381</v>
      </c>
      <c r="E24" s="1229">
        <v>15</v>
      </c>
      <c r="F24" s="1229">
        <v>87</v>
      </c>
      <c r="G24" s="1235">
        <f t="shared" si="0"/>
        <v>302.6785714285714</v>
      </c>
      <c r="H24" s="340">
        <f t="shared" si="1"/>
        <v>1755.535714285714</v>
      </c>
      <c r="I24" s="1228"/>
      <c r="J24" s="1368">
        <f t="shared" si="2"/>
        <v>0</v>
      </c>
      <c r="V24" s="94"/>
      <c r="AA24" s="1366"/>
    </row>
    <row r="25" spans="1:27" ht="12.75">
      <c r="A25" t="s">
        <v>184</v>
      </c>
      <c r="B25" s="361">
        <v>1</v>
      </c>
      <c r="C25" s="363">
        <v>1</v>
      </c>
      <c r="D25" s="1227">
        <v>38.537258509659615</v>
      </c>
      <c r="E25" s="1229">
        <v>215</v>
      </c>
      <c r="F25" s="1229">
        <v>1226</v>
      </c>
      <c r="G25" s="1235">
        <f t="shared" si="0"/>
        <v>557.9016471711625</v>
      </c>
      <c r="H25" s="340">
        <f t="shared" si="1"/>
        <v>3181.3368345667222</v>
      </c>
      <c r="I25" s="1228">
        <v>28.2</v>
      </c>
      <c r="J25" s="1368">
        <f t="shared" si="2"/>
        <v>1086.7506899724012</v>
      </c>
      <c r="V25" s="94"/>
      <c r="AA25" s="1366"/>
    </row>
    <row r="26" spans="1:27" ht="12.75">
      <c r="A26" s="580" t="s">
        <v>396</v>
      </c>
      <c r="B26" s="361">
        <v>1</v>
      </c>
      <c r="C26" s="363">
        <v>1</v>
      </c>
      <c r="D26" s="1227">
        <v>10.556872037914692</v>
      </c>
      <c r="E26" s="1229">
        <v>29</v>
      </c>
      <c r="F26" s="1229">
        <v>263</v>
      </c>
      <c r="G26" s="1235">
        <f t="shared" si="0"/>
        <v>274.70258136924804</v>
      </c>
      <c r="H26" s="340">
        <f t="shared" si="1"/>
        <v>2491.2682379349044</v>
      </c>
      <c r="I26" s="1228">
        <v>8.6</v>
      </c>
      <c r="J26" s="1368">
        <f t="shared" si="2"/>
        <v>90.78909952606635</v>
      </c>
      <c r="V26" s="94"/>
      <c r="AA26" s="1366"/>
    </row>
    <row r="27" spans="1:27" ht="12.75">
      <c r="A27" t="s">
        <v>185</v>
      </c>
      <c r="B27" s="361">
        <v>1</v>
      </c>
      <c r="C27" s="299" t="s">
        <v>167</v>
      </c>
      <c r="D27" s="1227">
        <v>21.377118644067796</v>
      </c>
      <c r="E27" s="1229">
        <v>92</v>
      </c>
      <c r="F27" s="1229">
        <v>1094</v>
      </c>
      <c r="G27" s="1235">
        <f t="shared" si="0"/>
        <v>430.36669970267593</v>
      </c>
      <c r="H27" s="340">
        <f t="shared" si="1"/>
        <v>5117.621407333994</v>
      </c>
      <c r="I27" s="1228">
        <v>18.1</v>
      </c>
      <c r="J27" s="1368">
        <f t="shared" si="2"/>
        <v>386.9258474576271</v>
      </c>
      <c r="K27" s="1365">
        <v>0.01</v>
      </c>
      <c r="V27" s="94"/>
      <c r="AA27" s="1367">
        <v>0.01</v>
      </c>
    </row>
    <row r="28" spans="1:22" ht="12.75">
      <c r="A28" t="s">
        <v>186</v>
      </c>
      <c r="B28" s="361">
        <v>1</v>
      </c>
      <c r="C28" s="363">
        <v>1</v>
      </c>
      <c r="D28" s="1227">
        <v>5.398671096345515</v>
      </c>
      <c r="E28" s="1229">
        <v>19</v>
      </c>
      <c r="F28" s="1229">
        <v>175</v>
      </c>
      <c r="G28" s="1235">
        <f t="shared" si="0"/>
        <v>351.9384615384615</v>
      </c>
      <c r="H28" s="340">
        <f t="shared" si="1"/>
        <v>3241.5384615384614</v>
      </c>
      <c r="I28" s="1228">
        <v>25</v>
      </c>
      <c r="J28" s="1368">
        <f t="shared" si="2"/>
        <v>134.96677740863788</v>
      </c>
      <c r="V28" s="94"/>
    </row>
    <row r="29" spans="1:22" ht="12.75">
      <c r="A29" t="s">
        <v>187</v>
      </c>
      <c r="B29" s="361">
        <v>1</v>
      </c>
      <c r="C29" s="299" t="s">
        <v>167</v>
      </c>
      <c r="D29" s="1227">
        <v>2.052401746724891</v>
      </c>
      <c r="E29" s="1229">
        <v>9</v>
      </c>
      <c r="F29" s="1229">
        <v>51</v>
      </c>
      <c r="G29" s="1235">
        <f t="shared" si="0"/>
        <v>438.51063829787233</v>
      </c>
      <c r="H29" s="340">
        <f t="shared" si="1"/>
        <v>2484.8936170212764</v>
      </c>
      <c r="I29" s="1228">
        <v>21.5</v>
      </c>
      <c r="J29" s="1368">
        <f t="shared" si="2"/>
        <v>44.12663755458516</v>
      </c>
      <c r="V29" s="94"/>
    </row>
    <row r="30" spans="1:22" ht="12.75">
      <c r="A30" t="s">
        <v>188</v>
      </c>
      <c r="B30" s="361">
        <v>1</v>
      </c>
      <c r="C30" s="363">
        <v>1</v>
      </c>
      <c r="D30" s="1227">
        <v>46.195965417867434</v>
      </c>
      <c r="E30" s="1229">
        <v>155</v>
      </c>
      <c r="F30" s="1229">
        <v>670</v>
      </c>
      <c r="G30" s="1235">
        <f t="shared" si="0"/>
        <v>335.5271366188397</v>
      </c>
      <c r="H30" s="340">
        <f t="shared" si="1"/>
        <v>1450.3431066749845</v>
      </c>
      <c r="I30" s="1228">
        <v>12.5</v>
      </c>
      <c r="J30" s="1368">
        <f t="shared" si="2"/>
        <v>577.449567723343</v>
      </c>
      <c r="V30" s="94"/>
    </row>
    <row r="31" spans="1:22" ht="12.75">
      <c r="A31" t="s">
        <v>189</v>
      </c>
      <c r="B31" s="361">
        <v>1</v>
      </c>
      <c r="C31" s="363">
        <v>1</v>
      </c>
      <c r="D31" s="1227">
        <v>9.437869822485208</v>
      </c>
      <c r="E31" s="1229">
        <v>23</v>
      </c>
      <c r="F31" s="1229">
        <v>187</v>
      </c>
      <c r="G31" s="1235">
        <f t="shared" si="0"/>
        <v>243.6990595611285</v>
      </c>
      <c r="H31" s="340">
        <f t="shared" si="1"/>
        <v>1981.3793103448274</v>
      </c>
      <c r="I31" s="1228">
        <v>8</v>
      </c>
      <c r="J31" s="1368">
        <f t="shared" si="2"/>
        <v>75.50295857988166</v>
      </c>
      <c r="V31" s="94"/>
    </row>
    <row r="32" spans="1:22" ht="12.75">
      <c r="A32" t="s">
        <v>190</v>
      </c>
      <c r="B32" s="481" t="s">
        <v>167</v>
      </c>
      <c r="C32" s="363">
        <v>1</v>
      </c>
      <c r="D32" s="1227">
        <v>7.920792079207921</v>
      </c>
      <c r="E32" s="1229">
        <v>25</v>
      </c>
      <c r="F32" s="1229">
        <v>116</v>
      </c>
      <c r="G32" s="1235">
        <f t="shared" si="0"/>
        <v>315.625</v>
      </c>
      <c r="H32" s="340">
        <f t="shared" si="1"/>
        <v>1464.5</v>
      </c>
      <c r="I32" s="1228"/>
      <c r="J32" s="1368">
        <f t="shared" si="2"/>
        <v>0</v>
      </c>
      <c r="V32" s="94"/>
    </row>
    <row r="33" spans="1:22" ht="12.75">
      <c r="A33" t="s">
        <v>191</v>
      </c>
      <c r="B33" s="481" t="s">
        <v>167</v>
      </c>
      <c r="C33" s="363">
        <v>1</v>
      </c>
      <c r="D33" s="1227">
        <v>74.75633528265108</v>
      </c>
      <c r="E33" s="1229">
        <v>115</v>
      </c>
      <c r="F33" s="1229">
        <v>2082</v>
      </c>
      <c r="G33" s="1235">
        <f t="shared" si="0"/>
        <v>153.83311603650586</v>
      </c>
      <c r="H33" s="340">
        <f t="shared" si="1"/>
        <v>2785.0482398956974</v>
      </c>
      <c r="I33" s="1228"/>
      <c r="J33" s="1368">
        <f t="shared" si="2"/>
        <v>0</v>
      </c>
      <c r="V33" s="94"/>
    </row>
    <row r="34" spans="1:22" ht="13.5" thickBot="1">
      <c r="A34" s="1230" t="s">
        <v>329</v>
      </c>
      <c r="B34" s="362">
        <v>1</v>
      </c>
      <c r="C34" s="364">
        <v>1</v>
      </c>
      <c r="D34" s="1231">
        <v>62.820512820512825</v>
      </c>
      <c r="E34" s="1236">
        <v>230</v>
      </c>
      <c r="F34" s="1236">
        <v>1297</v>
      </c>
      <c r="G34" s="1234">
        <f t="shared" si="0"/>
        <v>366.1224489795918</v>
      </c>
      <c r="H34" s="1234">
        <f t="shared" si="1"/>
        <v>2064.612244897959</v>
      </c>
      <c r="I34" s="1232">
        <v>13.3</v>
      </c>
      <c r="J34" s="1368">
        <f t="shared" si="2"/>
        <v>835.5128205128207</v>
      </c>
      <c r="V34" s="94"/>
    </row>
    <row r="35" spans="1:22" ht="12.75">
      <c r="A35" s="580" t="s">
        <v>400</v>
      </c>
      <c r="D35" s="1237">
        <f>SUM(D$5:D$34)</f>
        <v>590.2275253667684</v>
      </c>
      <c r="E35" s="594">
        <f>SUM(E5:E34)</f>
        <v>2210</v>
      </c>
      <c r="F35" s="1229">
        <f>SUM(F5:F34)</f>
        <v>14415</v>
      </c>
      <c r="G35" s="1235">
        <f t="shared" si="0"/>
        <v>374.4318766947885</v>
      </c>
      <c r="H35" s="1235">
        <f>100*F35/$D35</f>
        <v>2442.2785079436094</v>
      </c>
      <c r="I35" s="1371">
        <v>17.742392977848777</v>
      </c>
      <c r="J35" s="65"/>
      <c r="V35" s="94"/>
    </row>
    <row r="36" spans="1:22" ht="12.75">
      <c r="A36" s="580" t="s">
        <v>399</v>
      </c>
      <c r="B36" s="580"/>
      <c r="C36" s="580"/>
      <c r="D36" s="1238">
        <f>SUM(D$5:D$34)-(D24+D32+D33)</f>
        <v>502.59464579252005</v>
      </c>
      <c r="E36" s="1229">
        <f aca="true" t="shared" si="3" ref="E36:F36">SUM(E$5:E$34)-(E24+E32+E33)</f>
        <v>2055</v>
      </c>
      <c r="F36" s="1229">
        <f t="shared" si="3"/>
        <v>12130</v>
      </c>
      <c r="G36" s="1235">
        <f t="shared" si="0"/>
        <v>408.87821173652935</v>
      </c>
      <c r="H36" s="1235">
        <f aca="true" t="shared" si="4" ref="H36:H37">100*F36/$D36</f>
        <v>2413.47577049348</v>
      </c>
      <c r="I36" s="1370">
        <f>SUM(J5:J34)/D36</f>
        <v>17.742392977848777</v>
      </c>
      <c r="J36" s="65"/>
      <c r="V36" s="94"/>
    </row>
    <row r="37" spans="1:22" ht="13.5" thickBot="1">
      <c r="A37" s="1233" t="s">
        <v>401</v>
      </c>
      <c r="B37" s="134"/>
      <c r="C37" s="134"/>
      <c r="D37" s="1232">
        <f>SUM(D$5:D$34)-(D7+D8+D19+D20+D22+D27+D29)</f>
        <v>553.0938568737691</v>
      </c>
      <c r="E37" s="1236">
        <f aca="true" t="shared" si="5" ref="E37:F37">SUM(E$5:E$34)-(E7+E8+E19+E20+E22+E27+E29)</f>
        <v>2052</v>
      </c>
      <c r="F37" s="1236">
        <f t="shared" si="5"/>
        <v>12447</v>
      </c>
      <c r="G37" s="1234">
        <f t="shared" si="0"/>
        <v>371.0039398373433</v>
      </c>
      <c r="H37" s="1234">
        <f t="shared" si="4"/>
        <v>2250.431792960727</v>
      </c>
      <c r="I37" s="1372">
        <v>17.742392977848777</v>
      </c>
      <c r="J37" s="65"/>
      <c r="V37" s="94"/>
    </row>
    <row r="38" ht="12.75">
      <c r="V38" s="94"/>
    </row>
    <row r="39" spans="1:22" ht="12.75">
      <c r="A39" t="s">
        <v>225</v>
      </c>
      <c r="V39" s="94"/>
    </row>
    <row r="40" spans="1:22" ht="12.75">
      <c r="A40" t="s">
        <v>226</v>
      </c>
      <c r="V40" s="94"/>
    </row>
    <row r="41" spans="1:22" ht="12.75">
      <c r="A41" t="s">
        <v>227</v>
      </c>
      <c r="V41" s="94"/>
    </row>
    <row r="42" ht="12.75">
      <c r="A42" t="s">
        <v>228</v>
      </c>
    </row>
  </sheetData>
  <mergeCells count="11">
    <mergeCell ref="I1:I3"/>
    <mergeCell ref="G4:H4"/>
    <mergeCell ref="E1:E3"/>
    <mergeCell ref="F1:F3"/>
    <mergeCell ref="G1:G3"/>
    <mergeCell ref="H1:H3"/>
    <mergeCell ref="B1:B4"/>
    <mergeCell ref="C1:C4"/>
    <mergeCell ref="A1:A4"/>
    <mergeCell ref="D1:D4"/>
    <mergeCell ref="E4:F4"/>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0"/>
  <sheetViews>
    <sheetView tabSelected="1" workbookViewId="0" topLeftCell="A1">
      <selection activeCell="A301" sqref="A301"/>
    </sheetView>
  </sheetViews>
  <sheetFormatPr defaultColWidth="9.140625" defaultRowHeight="12.75"/>
  <cols>
    <col min="1" max="1" width="28.00390625" style="0" customWidth="1"/>
  </cols>
  <sheetData>
    <row r="1" spans="1:12" ht="27.75">
      <c r="A1" s="1547"/>
      <c r="B1" s="941" t="s">
        <v>293</v>
      </c>
      <c r="C1" s="91"/>
      <c r="D1" s="91"/>
      <c r="E1" s="91"/>
      <c r="F1" s="91"/>
      <c r="G1" s="91"/>
      <c r="H1" s="91"/>
      <c r="I1" s="91"/>
      <c r="J1" s="91"/>
      <c r="K1" s="91"/>
      <c r="L1" s="1133"/>
    </row>
    <row r="2" spans="1:12" ht="12.75">
      <c r="A2" s="1136" t="s">
        <v>10</v>
      </c>
      <c r="B2" s="142">
        <v>0.38</v>
      </c>
      <c r="C2" s="142"/>
      <c r="D2" s="142">
        <v>0.4</v>
      </c>
      <c r="E2" s="142">
        <v>0.5</v>
      </c>
      <c r="F2" s="142">
        <v>0.345</v>
      </c>
      <c r="G2" s="142">
        <v>1</v>
      </c>
      <c r="H2" s="142">
        <v>1</v>
      </c>
      <c r="I2" s="142">
        <v>0.35</v>
      </c>
      <c r="J2" s="91"/>
      <c r="K2" s="91"/>
      <c r="L2" s="1133"/>
    </row>
    <row r="3" spans="1:12" ht="12.75">
      <c r="A3" s="1136" t="s">
        <v>66</v>
      </c>
      <c r="B3" s="142">
        <v>0.32</v>
      </c>
      <c r="C3" s="142"/>
      <c r="D3" s="142">
        <v>0.35</v>
      </c>
      <c r="E3" s="142">
        <v>0.435</v>
      </c>
      <c r="F3" s="142">
        <v>0.3</v>
      </c>
      <c r="G3" s="142">
        <v>1</v>
      </c>
      <c r="H3" s="142">
        <v>1</v>
      </c>
      <c r="I3" s="142">
        <v>0.295</v>
      </c>
      <c r="J3" s="91"/>
      <c r="K3" s="91"/>
      <c r="L3" s="1133"/>
    </row>
    <row r="4" spans="1:12" ht="12.75">
      <c r="A4" s="1136" t="s">
        <v>67</v>
      </c>
      <c r="B4" s="142">
        <v>0.52</v>
      </c>
      <c r="C4" s="142"/>
      <c r="D4" s="142">
        <v>0.55</v>
      </c>
      <c r="E4" s="142">
        <v>0.45</v>
      </c>
      <c r="F4" s="142">
        <v>0.5</v>
      </c>
      <c r="G4" s="142">
        <v>1</v>
      </c>
      <c r="H4" s="142">
        <v>1</v>
      </c>
      <c r="I4" s="142">
        <v>0.555</v>
      </c>
      <c r="J4" s="142">
        <v>1</v>
      </c>
      <c r="K4" s="142">
        <v>1</v>
      </c>
      <c r="L4" s="1133"/>
    </row>
    <row r="5" spans="1:12" ht="13.5" thickBot="1">
      <c r="A5" s="1137" t="s">
        <v>12</v>
      </c>
      <c r="B5" s="144">
        <v>0.86</v>
      </c>
      <c r="C5" s="144"/>
      <c r="D5" s="144">
        <v>0.95</v>
      </c>
      <c r="E5" s="144">
        <v>0.95</v>
      </c>
      <c r="F5" s="144"/>
      <c r="G5" s="144"/>
      <c r="H5" s="144">
        <v>1</v>
      </c>
      <c r="I5" s="144">
        <v>0.9</v>
      </c>
      <c r="J5" s="144">
        <v>1</v>
      </c>
      <c r="K5" s="144">
        <v>1</v>
      </c>
      <c r="L5" s="1548"/>
    </row>
    <row r="6" spans="1:12" ht="18.75" thickBot="1">
      <c r="A6" s="1432" t="s">
        <v>442</v>
      </c>
      <c r="B6" s="1432"/>
      <c r="C6" s="1432"/>
      <c r="D6" s="1432"/>
      <c r="E6" s="1432"/>
      <c r="F6" s="1432"/>
      <c r="G6" s="1432"/>
      <c r="H6" s="1432"/>
      <c r="I6" s="1432"/>
      <c r="J6" s="1432"/>
      <c r="K6" s="1432"/>
      <c r="L6" s="1433"/>
    </row>
    <row r="7" spans="1:12" ht="16.5" thickBot="1">
      <c r="A7" s="1415" t="s">
        <v>64</v>
      </c>
      <c r="B7" s="1416"/>
      <c r="C7" s="1416"/>
      <c r="D7" s="1416"/>
      <c r="E7" s="1416"/>
      <c r="F7" s="1416"/>
      <c r="G7" s="1416"/>
      <c r="H7" s="1416"/>
      <c r="I7" s="1416"/>
      <c r="J7" s="1416"/>
      <c r="K7" s="1416"/>
      <c r="L7" s="1417"/>
    </row>
    <row r="8" spans="1:12" ht="12.75">
      <c r="A8" s="40" t="s">
        <v>0</v>
      </c>
      <c r="B8" s="41" t="s">
        <v>47</v>
      </c>
      <c r="C8" s="41" t="s">
        <v>48</v>
      </c>
      <c r="D8" s="1357" t="s">
        <v>230</v>
      </c>
      <c r="E8" s="41" t="s">
        <v>49</v>
      </c>
      <c r="F8" s="41" t="s">
        <v>50</v>
      </c>
      <c r="G8" s="41" t="s">
        <v>51</v>
      </c>
      <c r="H8" s="1357" t="s">
        <v>237</v>
      </c>
      <c r="I8" s="1357" t="s">
        <v>238</v>
      </c>
      <c r="J8" s="1357" t="s">
        <v>54</v>
      </c>
      <c r="K8" s="41" t="s">
        <v>55</v>
      </c>
      <c r="L8" s="43" t="s">
        <v>56</v>
      </c>
    </row>
    <row r="9" spans="1:12" ht="13.5" thickBot="1">
      <c r="A9" s="44" t="s">
        <v>1</v>
      </c>
      <c r="B9" s="45" t="s">
        <v>46</v>
      </c>
      <c r="C9" s="45" t="s">
        <v>58</v>
      </c>
      <c r="D9" s="1358" t="s">
        <v>59</v>
      </c>
      <c r="E9" s="45"/>
      <c r="F9" s="45"/>
      <c r="G9" s="45"/>
      <c r="H9" s="1358" t="s">
        <v>241</v>
      </c>
      <c r="I9" s="1358" t="s">
        <v>239</v>
      </c>
      <c r="J9" s="1358"/>
      <c r="K9" s="45"/>
      <c r="L9" s="47"/>
    </row>
    <row r="10" spans="1:12" ht="12.75">
      <c r="A10" s="48" t="s">
        <v>2</v>
      </c>
      <c r="B10" s="49">
        <v>2.18</v>
      </c>
      <c r="C10" s="49">
        <v>0.08</v>
      </c>
      <c r="D10" s="49"/>
      <c r="E10" s="49"/>
      <c r="F10" s="49">
        <v>6.13</v>
      </c>
      <c r="G10" s="49">
        <v>1.09</v>
      </c>
      <c r="H10" s="49">
        <v>0.03</v>
      </c>
      <c r="I10" s="49">
        <v>6.98</v>
      </c>
      <c r="J10" s="49"/>
      <c r="K10" s="49">
        <v>0.05</v>
      </c>
      <c r="L10" s="55">
        <v>16.55</v>
      </c>
    </row>
    <row r="11" spans="1:12" ht="12.75">
      <c r="A11" s="48" t="s">
        <v>5</v>
      </c>
      <c r="B11" s="49">
        <v>3.8</v>
      </c>
      <c r="C11" s="49">
        <v>11.76</v>
      </c>
      <c r="D11" s="49">
        <v>5.08</v>
      </c>
      <c r="E11" s="49">
        <v>3.48</v>
      </c>
      <c r="F11" s="49"/>
      <c r="G11" s="49"/>
      <c r="H11" s="49"/>
      <c r="I11" s="49">
        <v>0.1</v>
      </c>
      <c r="J11" s="49">
        <v>1.33</v>
      </c>
      <c r="K11" s="49"/>
      <c r="L11" s="55">
        <v>25.55</v>
      </c>
    </row>
    <row r="12" spans="1:12" ht="12.75">
      <c r="A12" s="48" t="s">
        <v>6</v>
      </c>
      <c r="B12" s="49">
        <v>-0.01</v>
      </c>
      <c r="C12" s="49">
        <v>-0.12</v>
      </c>
      <c r="D12" s="49">
        <v>-6.62</v>
      </c>
      <c r="E12" s="49"/>
      <c r="F12" s="49"/>
      <c r="G12" s="49"/>
      <c r="H12" s="49"/>
      <c r="I12" s="49">
        <v>-0.16</v>
      </c>
      <c r="J12" s="49">
        <v>-0.29</v>
      </c>
      <c r="K12" s="49"/>
      <c r="L12" s="55">
        <v>-7.2</v>
      </c>
    </row>
    <row r="13" spans="1:12" ht="12.75">
      <c r="A13" s="3" t="s">
        <v>3</v>
      </c>
      <c r="B13" s="49">
        <v>0</v>
      </c>
      <c r="C13" s="49"/>
      <c r="D13" s="1549">
        <v>-0.25</v>
      </c>
      <c r="E13" s="49"/>
      <c r="F13" s="49"/>
      <c r="G13" s="49"/>
      <c r="H13" s="49"/>
      <c r="I13" s="49"/>
      <c r="J13" s="49"/>
      <c r="K13" s="49"/>
      <c r="L13" s="5">
        <v>-0.25</v>
      </c>
    </row>
    <row r="14" spans="1:12" ht="12.75">
      <c r="A14" s="3" t="s">
        <v>105</v>
      </c>
      <c r="B14" s="49"/>
      <c r="C14" s="49"/>
      <c r="D14" s="1549">
        <v>-0.51</v>
      </c>
      <c r="E14" s="49"/>
      <c r="F14" s="49"/>
      <c r="G14" s="49"/>
      <c r="H14" s="49"/>
      <c r="I14" s="49"/>
      <c r="J14" s="49"/>
      <c r="K14" s="49"/>
      <c r="L14" s="5">
        <v>-0.51</v>
      </c>
    </row>
    <row r="15" spans="1:12" ht="12.75">
      <c r="A15" s="48" t="s">
        <v>7</v>
      </c>
      <c r="B15" s="49">
        <v>-0.75</v>
      </c>
      <c r="C15" s="49">
        <v>0.24</v>
      </c>
      <c r="D15" s="49">
        <v>-0.47</v>
      </c>
      <c r="E15" s="49"/>
      <c r="F15" s="49"/>
      <c r="G15" s="49"/>
      <c r="H15" s="49"/>
      <c r="I15" s="49"/>
      <c r="J15" s="49"/>
      <c r="K15" s="49"/>
      <c r="L15" s="55">
        <v>-0.98</v>
      </c>
    </row>
    <row r="16" spans="1:12" ht="13.5" thickBot="1">
      <c r="A16" s="518" t="s">
        <v>236</v>
      </c>
      <c r="B16" s="56"/>
      <c r="C16" s="56"/>
      <c r="D16" s="56">
        <v>-1.11</v>
      </c>
      <c r="E16" s="56">
        <v>-0.27</v>
      </c>
      <c r="F16" s="49"/>
      <c r="G16" s="49"/>
      <c r="H16" s="49"/>
      <c r="I16" s="49"/>
      <c r="J16" s="49"/>
      <c r="K16" s="49"/>
      <c r="L16" s="59">
        <v>1.38</v>
      </c>
    </row>
    <row r="17" spans="1:12" ht="15.75" thickBot="1">
      <c r="A17" s="50" t="s">
        <v>8</v>
      </c>
      <c r="B17" s="51">
        <v>5.22</v>
      </c>
      <c r="C17" s="51">
        <v>11.97</v>
      </c>
      <c r="D17" s="903">
        <f>-2.77+D16</f>
        <v>-3.88</v>
      </c>
      <c r="E17" s="51">
        <f>3.48+E16</f>
        <v>3.21</v>
      </c>
      <c r="F17" s="51">
        <v>6.13</v>
      </c>
      <c r="G17" s="51">
        <v>1.09</v>
      </c>
      <c r="H17" s="51">
        <v>0.03</v>
      </c>
      <c r="I17" s="51">
        <v>6.92</v>
      </c>
      <c r="J17" s="51">
        <v>1.04</v>
      </c>
      <c r="K17" s="51">
        <v>0.05</v>
      </c>
      <c r="L17" s="52">
        <v>33.17</v>
      </c>
    </row>
    <row r="18" spans="1:12" ht="15">
      <c r="A18" s="84"/>
      <c r="B18" s="1550" t="s">
        <v>345</v>
      </c>
      <c r="C18" s="85"/>
      <c r="D18" s="85"/>
      <c r="E18" s="85"/>
      <c r="F18" s="902">
        <f>F17/($F17+$G17+$H17)</f>
        <v>0.8455172413793103</v>
      </c>
      <c r="G18" s="902">
        <f>G17/($F17+$G17+$H17)</f>
        <v>0.1503448275862069</v>
      </c>
      <c r="H18" s="902">
        <f>H17/($F17+$G17+$H17)</f>
        <v>0.004137931034482759</v>
      </c>
      <c r="I18" s="85"/>
      <c r="J18" s="85"/>
      <c r="K18" s="85"/>
      <c r="L18" s="85"/>
    </row>
    <row r="19" spans="1:12" ht="12.75">
      <c r="A19" s="48" t="s">
        <v>9</v>
      </c>
      <c r="B19" s="49"/>
      <c r="C19" s="49">
        <v>2.75</v>
      </c>
      <c r="D19" s="49">
        <v>-2.75</v>
      </c>
      <c r="E19" s="49"/>
      <c r="F19" s="49"/>
      <c r="G19" s="49"/>
      <c r="H19" s="49"/>
      <c r="I19" s="49"/>
      <c r="J19" s="49"/>
      <c r="K19" s="49"/>
      <c r="L19" s="55">
        <v>0.01</v>
      </c>
    </row>
    <row r="20" spans="1:12" ht="12.75">
      <c r="A20" s="48" t="s">
        <v>13</v>
      </c>
      <c r="B20" s="49">
        <v>0.19</v>
      </c>
      <c r="C20" s="49">
        <v>0.35</v>
      </c>
      <c r="D20" s="49">
        <v>-0.41</v>
      </c>
      <c r="E20" s="49">
        <v>0</v>
      </c>
      <c r="F20" s="49"/>
      <c r="G20" s="49"/>
      <c r="H20" s="49"/>
      <c r="I20" s="49">
        <v>-0.03</v>
      </c>
      <c r="J20" s="49"/>
      <c r="K20" s="49"/>
      <c r="L20" s="55">
        <v>0.1</v>
      </c>
    </row>
    <row r="21" spans="1:12" ht="14.25">
      <c r="A21" s="48" t="s">
        <v>10</v>
      </c>
      <c r="B21" s="258">
        <v>-1.72</v>
      </c>
      <c r="C21" s="258"/>
      <c r="D21" s="258">
        <v>-0.05</v>
      </c>
      <c r="E21" s="258">
        <v>-0.03</v>
      </c>
      <c r="F21" s="258">
        <v>-6.13</v>
      </c>
      <c r="G21" s="258">
        <v>-1.09</v>
      </c>
      <c r="H21" s="258">
        <v>-0.02</v>
      </c>
      <c r="I21" s="258">
        <v>-0.22</v>
      </c>
      <c r="J21" s="49">
        <v>3.99</v>
      </c>
      <c r="K21" s="87">
        <v>-0.03</v>
      </c>
      <c r="L21" s="55">
        <v>-5.3</v>
      </c>
    </row>
    <row r="22" spans="1:12" ht="12.75">
      <c r="A22" s="48" t="s">
        <v>11</v>
      </c>
      <c r="B22" s="60">
        <v>-2.36</v>
      </c>
      <c r="C22" s="4"/>
      <c r="D22" s="60">
        <v>-0.1</v>
      </c>
      <c r="E22" s="60">
        <v>-1.84</v>
      </c>
      <c r="F22" s="60"/>
      <c r="G22" s="60"/>
      <c r="H22" s="60"/>
      <c r="I22" s="60">
        <v>-2.07</v>
      </c>
      <c r="J22" s="49">
        <v>2.2</v>
      </c>
      <c r="K22" s="49">
        <v>3.25</v>
      </c>
      <c r="L22" s="55">
        <v>-0.92</v>
      </c>
    </row>
    <row r="23" spans="1:12" ht="12.75">
      <c r="A23" s="48" t="s">
        <v>12</v>
      </c>
      <c r="B23" s="60">
        <v>-0.21</v>
      </c>
      <c r="C23" s="60"/>
      <c r="D23" s="60">
        <v>-0.3</v>
      </c>
      <c r="E23" s="60">
        <v>-0.36</v>
      </c>
      <c r="F23" s="60"/>
      <c r="G23" s="60"/>
      <c r="H23" s="60"/>
      <c r="I23" s="60">
        <v>-0.32</v>
      </c>
      <c r="J23" s="49">
        <v>-0.01</v>
      </c>
      <c r="K23" s="49">
        <v>1.09</v>
      </c>
      <c r="L23" s="55">
        <v>-0.11</v>
      </c>
    </row>
    <row r="24" spans="1:12" ht="12.75">
      <c r="A24" s="247" t="s">
        <v>229</v>
      </c>
      <c r="B24" s="254">
        <v>-0.28</v>
      </c>
      <c r="C24" s="254"/>
      <c r="D24" s="254">
        <v>-0.13</v>
      </c>
      <c r="E24" s="254"/>
      <c r="F24" s="254"/>
      <c r="G24" s="254"/>
      <c r="H24" s="254"/>
      <c r="I24" s="254"/>
      <c r="J24" s="49"/>
      <c r="K24" s="49"/>
      <c r="L24" s="55">
        <v>-0.41</v>
      </c>
    </row>
    <row r="25" spans="1:12" ht="12.75">
      <c r="A25" s="212" t="s">
        <v>14</v>
      </c>
      <c r="B25" s="49"/>
      <c r="C25" s="49"/>
      <c r="D25" s="49"/>
      <c r="E25" s="49"/>
      <c r="F25" s="49"/>
      <c r="G25" s="49"/>
      <c r="H25" s="49"/>
      <c r="I25" s="49"/>
      <c r="J25" s="49"/>
      <c r="K25" s="49"/>
      <c r="L25" s="55"/>
    </row>
    <row r="26" spans="1:12" ht="12.75">
      <c r="A26" s="212" t="s">
        <v>232</v>
      </c>
      <c r="B26" s="49">
        <v>-0.09</v>
      </c>
      <c r="C26" s="49">
        <v>-15.26</v>
      </c>
      <c r="D26" s="49">
        <v>15.17</v>
      </c>
      <c r="E26" s="49"/>
      <c r="F26" s="49"/>
      <c r="G26" s="49"/>
      <c r="H26" s="49"/>
      <c r="I26" s="49"/>
      <c r="J26" s="49"/>
      <c r="K26" s="49"/>
      <c r="L26" s="55">
        <v>-0.09</v>
      </c>
    </row>
    <row r="27" spans="1:12" ht="12.75">
      <c r="A27" s="212" t="s">
        <v>233</v>
      </c>
      <c r="B27" s="49"/>
      <c r="C27" s="49">
        <v>0.18</v>
      </c>
      <c r="D27" s="49">
        <v>-0.2</v>
      </c>
      <c r="E27" s="49"/>
      <c r="F27" s="49"/>
      <c r="G27" s="49"/>
      <c r="H27" s="49"/>
      <c r="I27" s="49"/>
      <c r="J27" s="49"/>
      <c r="K27" s="49"/>
      <c r="L27" s="55">
        <v>-0.09</v>
      </c>
    </row>
    <row r="28" spans="1:12" ht="12.75">
      <c r="A28" s="212" t="s">
        <v>231</v>
      </c>
      <c r="B28" s="49"/>
      <c r="C28" s="49"/>
      <c r="D28" s="49"/>
      <c r="E28" s="49"/>
      <c r="F28" s="49"/>
      <c r="G28" s="49"/>
      <c r="H28" s="49"/>
      <c r="I28" s="49"/>
      <c r="J28" s="49"/>
      <c r="K28" s="49"/>
      <c r="L28" s="55">
        <v>-0.02</v>
      </c>
    </row>
    <row r="29" spans="1:12" ht="12.75">
      <c r="A29" s="48" t="s">
        <v>17</v>
      </c>
      <c r="B29" s="49"/>
      <c r="C29" s="49"/>
      <c r="D29" s="49"/>
      <c r="E29" s="49"/>
      <c r="F29" s="49"/>
      <c r="G29" s="49"/>
      <c r="H29" s="49"/>
      <c r="I29" s="49"/>
      <c r="J29" s="49"/>
      <c r="K29" s="49"/>
      <c r="L29" s="55"/>
    </row>
    <row r="30" spans="1:12" ht="12.75">
      <c r="A30" s="48" t="s">
        <v>18</v>
      </c>
      <c r="B30" s="49"/>
      <c r="C30" s="49"/>
      <c r="D30" s="49"/>
      <c r="E30" s="49"/>
      <c r="F30" s="49"/>
      <c r="G30" s="49"/>
      <c r="H30" s="49"/>
      <c r="I30" s="49"/>
      <c r="J30" s="49"/>
      <c r="K30" s="49"/>
      <c r="L30" s="55"/>
    </row>
    <row r="31" spans="1:12" ht="12.75">
      <c r="A31" s="48" t="s">
        <v>234</v>
      </c>
      <c r="B31" s="49">
        <v>-0.13</v>
      </c>
      <c r="C31" s="49"/>
      <c r="D31" s="49">
        <v>-0.62</v>
      </c>
      <c r="E31" s="49">
        <v>-0.29</v>
      </c>
      <c r="F31" s="49"/>
      <c r="G31" s="49"/>
      <c r="H31" s="49"/>
      <c r="I31" s="49"/>
      <c r="J31" s="49">
        <v>-0.36</v>
      </c>
      <c r="K31" s="49">
        <v>-0.01</v>
      </c>
      <c r="L31" s="55">
        <v>-1.41</v>
      </c>
    </row>
    <row r="32" spans="1:12" ht="12.75">
      <c r="A32" s="54" t="s">
        <v>235</v>
      </c>
      <c r="B32" s="54">
        <v>-0.04</v>
      </c>
      <c r="C32" s="54"/>
      <c r="D32" s="54"/>
      <c r="E32" s="54"/>
      <c r="F32" s="54"/>
      <c r="G32" s="54"/>
      <c r="H32" s="54"/>
      <c r="I32" s="54"/>
      <c r="J32" s="54">
        <v>-0.24</v>
      </c>
      <c r="K32" s="54">
        <v>-0.28</v>
      </c>
      <c r="L32" s="55">
        <v>-0.56</v>
      </c>
    </row>
    <row r="33" spans="1:12" ht="15.75" thickBot="1">
      <c r="A33" s="3"/>
      <c r="B33" s="198"/>
      <c r="C33" s="198"/>
      <c r="D33" s="198"/>
      <c r="E33" s="198"/>
      <c r="F33" s="198"/>
      <c r="G33" s="198"/>
      <c r="H33" s="198"/>
      <c r="I33" s="198"/>
      <c r="J33" s="198"/>
      <c r="K33" s="198"/>
      <c r="L33" s="86"/>
    </row>
    <row r="34" spans="1:12" ht="15.75" thickBot="1">
      <c r="A34" s="50" t="s">
        <v>21</v>
      </c>
      <c r="B34" s="51">
        <v>0.58</v>
      </c>
      <c r="C34" s="51"/>
      <c r="D34" s="51">
        <v>7.85</v>
      </c>
      <c r="E34" s="51">
        <v>0.95</v>
      </c>
      <c r="F34" s="51"/>
      <c r="G34" s="51"/>
      <c r="H34" s="51">
        <v>0</v>
      </c>
      <c r="I34" s="51">
        <v>4.29</v>
      </c>
      <c r="J34" s="51">
        <v>6.63</v>
      </c>
      <c r="K34" s="51">
        <v>4.08</v>
      </c>
      <c r="L34" s="52">
        <v>24.38</v>
      </c>
    </row>
    <row r="35" spans="1:12" ht="12.75">
      <c r="A35" s="55" t="s">
        <v>22</v>
      </c>
      <c r="B35" s="56">
        <v>0.55</v>
      </c>
      <c r="C35" s="56"/>
      <c r="D35" s="56">
        <v>1.14</v>
      </c>
      <c r="E35" s="56">
        <v>0.59</v>
      </c>
      <c r="F35" s="56"/>
      <c r="G35" s="56"/>
      <c r="H35" s="56"/>
      <c r="I35" s="56">
        <v>2.72</v>
      </c>
      <c r="J35" s="56">
        <v>3.11</v>
      </c>
      <c r="K35" s="56">
        <v>1.54</v>
      </c>
      <c r="L35" s="55">
        <v>9.65</v>
      </c>
    </row>
    <row r="36" spans="1:12" ht="12.75">
      <c r="A36" s="48" t="s">
        <v>23</v>
      </c>
      <c r="B36" s="49">
        <v>0.27</v>
      </c>
      <c r="C36" s="49"/>
      <c r="D36" s="49">
        <v>0.09</v>
      </c>
      <c r="E36" s="49">
        <v>0.04</v>
      </c>
      <c r="F36" s="49"/>
      <c r="G36" s="49"/>
      <c r="H36" s="49"/>
      <c r="I36" s="49"/>
      <c r="J36" s="49">
        <v>0.23</v>
      </c>
      <c r="K36" s="49">
        <v>0.04</v>
      </c>
      <c r="L36" s="55">
        <v>0.67</v>
      </c>
    </row>
    <row r="37" spans="1:12" ht="12.75">
      <c r="A37" s="48" t="s">
        <v>24</v>
      </c>
      <c r="B37" s="49">
        <v>0</v>
      </c>
      <c r="C37" s="49"/>
      <c r="D37" s="49">
        <v>0.29</v>
      </c>
      <c r="E37" s="49">
        <v>0.02</v>
      </c>
      <c r="F37" s="49"/>
      <c r="G37" s="49"/>
      <c r="H37" s="49"/>
      <c r="I37" s="49">
        <v>0.01</v>
      </c>
      <c r="J37" s="49">
        <v>0.36</v>
      </c>
      <c r="K37" s="49">
        <v>0.3</v>
      </c>
      <c r="L37" s="55">
        <v>0.97</v>
      </c>
    </row>
    <row r="38" spans="1:12" ht="12.75">
      <c r="A38" s="48" t="s">
        <v>25</v>
      </c>
      <c r="B38" s="49">
        <v>0</v>
      </c>
      <c r="C38" s="49"/>
      <c r="D38" s="49">
        <v>0.01</v>
      </c>
      <c r="E38" s="49">
        <v>0</v>
      </c>
      <c r="F38" s="49"/>
      <c r="G38" s="49"/>
      <c r="H38" s="49"/>
      <c r="I38" s="49">
        <v>0.01</v>
      </c>
      <c r="J38" s="49">
        <v>0.16</v>
      </c>
      <c r="K38" s="49">
        <v>0.03</v>
      </c>
      <c r="L38" s="55">
        <v>0.21</v>
      </c>
    </row>
    <row r="39" spans="1:12" ht="12.75">
      <c r="A39" s="48" t="s">
        <v>26</v>
      </c>
      <c r="B39" s="49">
        <v>0.07</v>
      </c>
      <c r="C39" s="49"/>
      <c r="D39" s="49">
        <v>0.09</v>
      </c>
      <c r="E39" s="49">
        <v>0.04</v>
      </c>
      <c r="F39" s="49"/>
      <c r="G39" s="49"/>
      <c r="H39" s="49"/>
      <c r="I39" s="49">
        <v>0</v>
      </c>
      <c r="J39" s="49">
        <v>0.08</v>
      </c>
      <c r="K39" s="49">
        <v>0.01</v>
      </c>
      <c r="L39" s="55">
        <v>0.28</v>
      </c>
    </row>
    <row r="40" spans="1:12" ht="12.75">
      <c r="A40" s="48" t="s">
        <v>27</v>
      </c>
      <c r="B40" s="49"/>
      <c r="C40" s="49"/>
      <c r="D40" s="49">
        <v>0.02</v>
      </c>
      <c r="E40" s="49">
        <v>0</v>
      </c>
      <c r="F40" s="49"/>
      <c r="G40" s="49"/>
      <c r="H40" s="49"/>
      <c r="I40" s="49"/>
      <c r="J40" s="49">
        <v>0.03</v>
      </c>
      <c r="K40" s="49">
        <v>0.02</v>
      </c>
      <c r="L40" s="55">
        <v>0.06</v>
      </c>
    </row>
    <row r="41" spans="1:12" ht="12.75">
      <c r="A41" s="48" t="s">
        <v>28</v>
      </c>
      <c r="B41" s="49"/>
      <c r="C41" s="49"/>
      <c r="D41" s="49">
        <v>0.01</v>
      </c>
      <c r="E41" s="49">
        <v>0.03</v>
      </c>
      <c r="F41" s="49"/>
      <c r="G41" s="49"/>
      <c r="H41" s="49"/>
      <c r="I41" s="49"/>
      <c r="J41" s="49">
        <v>0.22</v>
      </c>
      <c r="K41" s="49">
        <v>0.1</v>
      </c>
      <c r="L41" s="55">
        <v>0.37</v>
      </c>
    </row>
    <row r="42" spans="1:12" ht="12.75">
      <c r="A42" s="48" t="s">
        <v>29</v>
      </c>
      <c r="B42" s="49"/>
      <c r="C42" s="49"/>
      <c r="D42" s="49">
        <v>0.01</v>
      </c>
      <c r="E42" s="49"/>
      <c r="F42" s="49"/>
      <c r="G42" s="49"/>
      <c r="H42" s="49"/>
      <c r="I42" s="49"/>
      <c r="J42" s="49">
        <v>0.04</v>
      </c>
      <c r="K42" s="49">
        <v>0.01</v>
      </c>
      <c r="L42" s="55">
        <v>0.05</v>
      </c>
    </row>
    <row r="43" spans="1:12" ht="12.75">
      <c r="A43" s="48" t="s">
        <v>30</v>
      </c>
      <c r="B43" s="49">
        <v>0.01</v>
      </c>
      <c r="C43" s="49"/>
      <c r="D43" s="49">
        <v>0.03</v>
      </c>
      <c r="E43" s="49">
        <v>0.04</v>
      </c>
      <c r="F43" s="49"/>
      <c r="G43" s="49"/>
      <c r="H43" s="49"/>
      <c r="I43" s="49">
        <v>0</v>
      </c>
      <c r="J43" s="49">
        <v>0.18</v>
      </c>
      <c r="K43" s="49">
        <v>0.19</v>
      </c>
      <c r="L43" s="55">
        <v>0.46</v>
      </c>
    </row>
    <row r="44" spans="1:12" ht="12.75">
      <c r="A44" s="48" t="s">
        <v>31</v>
      </c>
      <c r="B44" s="49">
        <v>0.2</v>
      </c>
      <c r="C44" s="49"/>
      <c r="D44" s="49">
        <v>0.2</v>
      </c>
      <c r="E44" s="49">
        <v>0.41</v>
      </c>
      <c r="F44" s="49"/>
      <c r="G44" s="49"/>
      <c r="H44" s="49"/>
      <c r="I44" s="49">
        <v>2.46</v>
      </c>
      <c r="J44" s="49">
        <v>1.53</v>
      </c>
      <c r="K44" s="49">
        <v>0.54</v>
      </c>
      <c r="L44" s="55">
        <v>5.34</v>
      </c>
    </row>
    <row r="45" spans="1:12" ht="12.75">
      <c r="A45" s="48" t="s">
        <v>32</v>
      </c>
      <c r="B45" s="49"/>
      <c r="C45" s="49"/>
      <c r="D45" s="49">
        <v>0.02</v>
      </c>
      <c r="E45" s="49">
        <v>0</v>
      </c>
      <c r="F45" s="49"/>
      <c r="G45" s="49"/>
      <c r="H45" s="49"/>
      <c r="I45" s="49">
        <v>0.08</v>
      </c>
      <c r="J45" s="49">
        <v>0.14</v>
      </c>
      <c r="K45" s="49">
        <v>0.23</v>
      </c>
      <c r="L45" s="55">
        <v>0.47</v>
      </c>
    </row>
    <row r="46" spans="1:12" ht="12.75">
      <c r="A46" s="48" t="s">
        <v>33</v>
      </c>
      <c r="B46" s="49"/>
      <c r="C46" s="49"/>
      <c r="D46" s="49">
        <v>0.27</v>
      </c>
      <c r="E46" s="49"/>
      <c r="F46" s="49"/>
      <c r="G46" s="49"/>
      <c r="H46" s="49"/>
      <c r="I46" s="49"/>
      <c r="J46" s="49">
        <v>0.03</v>
      </c>
      <c r="K46" s="49"/>
      <c r="L46" s="55">
        <v>0.29</v>
      </c>
    </row>
    <row r="47" spans="1:12" ht="12.75">
      <c r="A47" s="48" t="s">
        <v>34</v>
      </c>
      <c r="B47" s="49"/>
      <c r="C47" s="49"/>
      <c r="D47" s="49">
        <v>0.01</v>
      </c>
      <c r="E47" s="49">
        <v>0.01</v>
      </c>
      <c r="F47" s="49"/>
      <c r="G47" s="49"/>
      <c r="H47" s="49"/>
      <c r="I47" s="49"/>
      <c r="J47" s="49">
        <v>0.02</v>
      </c>
      <c r="K47" s="49">
        <v>0.01</v>
      </c>
      <c r="L47" s="55">
        <v>0.05</v>
      </c>
    </row>
    <row r="48" spans="1:12" ht="12.75">
      <c r="A48" s="57" t="s">
        <v>35</v>
      </c>
      <c r="B48" s="58"/>
      <c r="C48" s="58"/>
      <c r="D48" s="58">
        <v>0.1</v>
      </c>
      <c r="E48" s="58">
        <v>0</v>
      </c>
      <c r="F48" s="58"/>
      <c r="G48" s="58"/>
      <c r="H48" s="58"/>
      <c r="I48" s="58">
        <v>0.16</v>
      </c>
      <c r="J48" s="58">
        <v>0.1</v>
      </c>
      <c r="K48" s="58">
        <v>0.05</v>
      </c>
      <c r="L48" s="67">
        <v>0.42</v>
      </c>
    </row>
    <row r="49" spans="1:12" ht="12.75">
      <c r="A49" s="55" t="s">
        <v>36</v>
      </c>
      <c r="B49" s="56"/>
      <c r="C49" s="215"/>
      <c r="D49" s="215">
        <v>4.08</v>
      </c>
      <c r="E49" s="214">
        <v>0.01</v>
      </c>
      <c r="F49" s="215"/>
      <c r="G49" s="215"/>
      <c r="H49" s="215"/>
      <c r="I49" s="215">
        <v>0.13</v>
      </c>
      <c r="J49" s="215">
        <v>0.06</v>
      </c>
      <c r="K49" s="215"/>
      <c r="L49" s="55">
        <v>4.29</v>
      </c>
    </row>
    <row r="50" spans="1:12" ht="12.75">
      <c r="A50" s="261" t="s">
        <v>98</v>
      </c>
      <c r="B50" s="49"/>
      <c r="C50" s="254"/>
      <c r="D50" s="237">
        <v>0.14</v>
      </c>
      <c r="E50" s="254"/>
      <c r="F50" s="254"/>
      <c r="G50" s="254"/>
      <c r="H50" s="254"/>
      <c r="I50" s="254"/>
      <c r="J50" s="254"/>
      <c r="K50" s="254"/>
      <c r="L50" s="59">
        <v>0.14</v>
      </c>
    </row>
    <row r="51" spans="1:12" ht="13.5" thickBot="1">
      <c r="A51" s="261" t="s">
        <v>283</v>
      </c>
      <c r="B51" s="49"/>
      <c r="C51" s="254"/>
      <c r="D51" s="237">
        <v>3.75</v>
      </c>
      <c r="E51" s="254">
        <v>0.01</v>
      </c>
      <c r="F51" s="254"/>
      <c r="G51" s="254"/>
      <c r="H51" s="254"/>
      <c r="I51" s="254">
        <v>0.13</v>
      </c>
      <c r="J51" s="254">
        <v>0.004</v>
      </c>
      <c r="K51" s="254"/>
      <c r="L51" s="59">
        <v>3.89</v>
      </c>
    </row>
    <row r="52" spans="1:12" ht="15" thickBot="1">
      <c r="A52" s="853"/>
      <c r="B52" s="854"/>
      <c r="C52" s="855" t="s">
        <v>258</v>
      </c>
      <c r="D52" s="856" t="s">
        <v>260</v>
      </c>
      <c r="E52" s="860" t="s">
        <v>120</v>
      </c>
      <c r="F52" s="1551"/>
      <c r="G52" s="1552"/>
      <c r="H52" s="1553"/>
      <c r="I52" s="859" t="s">
        <v>282</v>
      </c>
      <c r="J52" s="860" t="s">
        <v>257</v>
      </c>
      <c r="K52" s="861"/>
      <c r="L52" s="1554"/>
    </row>
    <row r="53" spans="1:12" ht="14.25">
      <c r="A53" s="853" t="s">
        <v>284</v>
      </c>
      <c r="B53" s="854"/>
      <c r="C53" s="1555"/>
      <c r="D53" s="1556"/>
      <c r="E53" s="862"/>
      <c r="F53" s="1551"/>
      <c r="G53" s="1552"/>
      <c r="H53" s="1553"/>
      <c r="I53" s="1557"/>
      <c r="J53" s="862"/>
      <c r="K53" s="861"/>
      <c r="L53" s="863"/>
    </row>
    <row r="54" spans="1:12" ht="12.75">
      <c r="A54" s="864" t="s">
        <v>127</v>
      </c>
      <c r="B54" s="865"/>
      <c r="C54" s="866"/>
      <c r="D54" s="867"/>
      <c r="E54" s="868"/>
      <c r="F54" s="865"/>
      <c r="G54" s="865"/>
      <c r="H54" s="865"/>
      <c r="I54" s="869"/>
      <c r="J54" s="868"/>
      <c r="K54" s="865"/>
      <c r="L54" s="870"/>
    </row>
    <row r="55" spans="1:12" ht="12.75">
      <c r="A55" s="871" t="s">
        <v>128</v>
      </c>
      <c r="B55" s="872"/>
      <c r="C55" s="873"/>
      <c r="D55" s="874"/>
      <c r="E55" s="875"/>
      <c r="F55" s="872"/>
      <c r="G55" s="872"/>
      <c r="H55" s="872"/>
      <c r="I55" s="876"/>
      <c r="J55" s="875"/>
      <c r="K55" s="872"/>
      <c r="L55" s="877"/>
    </row>
    <row r="56" spans="1:12" ht="12.75">
      <c r="A56" s="871" t="s">
        <v>285</v>
      </c>
      <c r="B56" s="872"/>
      <c r="C56" s="873"/>
      <c r="D56" s="874"/>
      <c r="E56" s="875"/>
      <c r="F56" s="872"/>
      <c r="G56" s="872"/>
      <c r="H56" s="872"/>
      <c r="I56" s="876"/>
      <c r="J56" s="875"/>
      <c r="K56" s="872"/>
      <c r="L56" s="877"/>
    </row>
    <row r="57" spans="1:12" ht="12.75">
      <c r="A57" s="871" t="s">
        <v>134</v>
      </c>
      <c r="B57" s="872"/>
      <c r="C57" s="873"/>
      <c r="D57" s="874"/>
      <c r="E57" s="875"/>
      <c r="F57" s="872"/>
      <c r="G57" s="872"/>
      <c r="H57" s="872"/>
      <c r="I57" s="876"/>
      <c r="J57" s="875"/>
      <c r="K57" s="872"/>
      <c r="L57" s="877"/>
    </row>
    <row r="58" spans="1:12" ht="12.75">
      <c r="A58" s="871" t="s">
        <v>131</v>
      </c>
      <c r="B58" s="872"/>
      <c r="C58" s="873"/>
      <c r="D58" s="874"/>
      <c r="E58" s="875"/>
      <c r="F58" s="872"/>
      <c r="G58" s="872"/>
      <c r="H58" s="872"/>
      <c r="I58" s="876"/>
      <c r="J58" s="875"/>
      <c r="K58" s="872"/>
      <c r="L58" s="877"/>
    </row>
    <row r="59" spans="1:12" ht="12.75">
      <c r="A59" s="864" t="s">
        <v>132</v>
      </c>
      <c r="B59" s="865"/>
      <c r="C59" s="866"/>
      <c r="D59" s="867"/>
      <c r="E59" s="868"/>
      <c r="F59" s="865"/>
      <c r="G59" s="865"/>
      <c r="H59" s="865"/>
      <c r="I59" s="869"/>
      <c r="J59" s="868"/>
      <c r="K59" s="865"/>
      <c r="L59" s="870"/>
    </row>
    <row r="60" spans="1:12" ht="12.75">
      <c r="A60" s="48" t="s">
        <v>39</v>
      </c>
      <c r="B60" s="49"/>
      <c r="C60" s="617">
        <v>0.03</v>
      </c>
      <c r="D60" s="231"/>
      <c r="E60" s="618"/>
      <c r="F60" s="254"/>
      <c r="G60" s="254"/>
      <c r="H60" s="254"/>
      <c r="I60" s="619">
        <f>I61+I62</f>
        <v>0</v>
      </c>
      <c r="J60" s="618">
        <v>0.06</v>
      </c>
      <c r="K60" s="254"/>
      <c r="L60" s="55">
        <v>0.09</v>
      </c>
    </row>
    <row r="61" spans="1:12" ht="12.75">
      <c r="A61" s="864" t="s">
        <v>127</v>
      </c>
      <c r="B61" s="865"/>
      <c r="C61" s="866"/>
      <c r="D61" s="867"/>
      <c r="E61" s="868"/>
      <c r="F61" s="865"/>
      <c r="G61" s="865"/>
      <c r="H61" s="865"/>
      <c r="I61" s="869"/>
      <c r="J61" s="868"/>
      <c r="K61" s="865"/>
      <c r="L61" s="870"/>
    </row>
    <row r="62" spans="1:12" ht="13.5" thickBot="1">
      <c r="A62" s="864" t="s">
        <v>132</v>
      </c>
      <c r="B62" s="865"/>
      <c r="C62" s="878"/>
      <c r="D62" s="879"/>
      <c r="E62" s="880"/>
      <c r="F62" s="865"/>
      <c r="G62" s="865"/>
      <c r="H62" s="865"/>
      <c r="I62" s="881"/>
      <c r="J62" s="880"/>
      <c r="K62" s="865"/>
      <c r="L62" s="870"/>
    </row>
    <row r="63" spans="1:12" ht="12.75">
      <c r="A63" s="48" t="s">
        <v>40</v>
      </c>
      <c r="B63" s="49"/>
      <c r="C63" s="254"/>
      <c r="D63" s="254"/>
      <c r="E63" s="254">
        <v>0.01</v>
      </c>
      <c r="F63" s="254"/>
      <c r="G63" s="254"/>
      <c r="H63" s="254"/>
      <c r="I63" s="254"/>
      <c r="J63" s="254"/>
      <c r="K63" s="254"/>
      <c r="L63" s="55">
        <v>0.01</v>
      </c>
    </row>
    <row r="64" spans="1:12" ht="12.75">
      <c r="A64" s="261" t="s">
        <v>99</v>
      </c>
      <c r="B64" s="49"/>
      <c r="C64" s="254"/>
      <c r="D64" s="254">
        <v>0.17</v>
      </c>
      <c r="E64" s="254"/>
      <c r="F64" s="254"/>
      <c r="G64" s="254"/>
      <c r="H64" s="254"/>
      <c r="I64" s="254"/>
      <c r="J64" s="254"/>
      <c r="K64" s="254"/>
      <c r="L64" s="56">
        <v>0.17</v>
      </c>
    </row>
    <row r="65" spans="1:12" ht="12.75">
      <c r="A65" s="57" t="s">
        <v>35</v>
      </c>
      <c r="B65" s="58"/>
      <c r="C65" s="255"/>
      <c r="D65" s="255"/>
      <c r="E65" s="255"/>
      <c r="F65" s="255"/>
      <c r="G65" s="255"/>
      <c r="H65" s="255"/>
      <c r="I65" s="255"/>
      <c r="J65" s="255">
        <v>0.01</v>
      </c>
      <c r="K65" s="237"/>
      <c r="L65" s="67">
        <v>0.01</v>
      </c>
    </row>
    <row r="66" spans="1:12" ht="12.75">
      <c r="A66" s="55" t="s">
        <v>42</v>
      </c>
      <c r="B66" s="56">
        <v>0.04</v>
      </c>
      <c r="C66" s="215"/>
      <c r="D66" s="215">
        <v>1.52</v>
      </c>
      <c r="E66" s="215">
        <v>0.08</v>
      </c>
      <c r="F66" s="215"/>
      <c r="G66" s="215"/>
      <c r="H66" s="56">
        <v>0</v>
      </c>
      <c r="I66" s="56">
        <v>1.43</v>
      </c>
      <c r="J66" s="56">
        <v>3.46</v>
      </c>
      <c r="K66" s="89">
        <v>2.54</v>
      </c>
      <c r="L66" s="55">
        <v>9.06</v>
      </c>
    </row>
    <row r="67" spans="1:12" ht="12.75">
      <c r="A67" s="212" t="s">
        <v>43</v>
      </c>
      <c r="B67" s="49">
        <v>0.01</v>
      </c>
      <c r="C67" s="254"/>
      <c r="D67" s="254">
        <v>0.65</v>
      </c>
      <c r="E67" s="254">
        <v>0.04</v>
      </c>
      <c r="F67" s="254"/>
      <c r="G67" s="254"/>
      <c r="H67" s="49"/>
      <c r="I67" s="49">
        <v>1.22</v>
      </c>
      <c r="J67" s="49">
        <v>1.9</v>
      </c>
      <c r="K67" s="270">
        <v>1.55</v>
      </c>
      <c r="L67" s="55">
        <v>5.37</v>
      </c>
    </row>
    <row r="68" spans="1:12" ht="12.75">
      <c r="A68" s="261" t="s">
        <v>138</v>
      </c>
      <c r="B68" s="49">
        <v>0</v>
      </c>
      <c r="C68" s="254"/>
      <c r="D68" s="254">
        <v>0.27</v>
      </c>
      <c r="E68" s="254">
        <v>0.02</v>
      </c>
      <c r="F68" s="254"/>
      <c r="G68" s="254"/>
      <c r="H68" s="49"/>
      <c r="I68" s="49">
        <v>0.08</v>
      </c>
      <c r="J68" s="49">
        <v>1.48</v>
      </c>
      <c r="K68" s="270"/>
      <c r="L68" s="55">
        <v>1.85</v>
      </c>
    </row>
    <row r="69" spans="1:12" ht="12.75">
      <c r="A69" s="224" t="s">
        <v>135</v>
      </c>
      <c r="B69" s="254"/>
      <c r="C69" s="254"/>
      <c r="D69" s="254"/>
      <c r="E69" s="254"/>
      <c r="F69" s="254"/>
      <c r="G69" s="254"/>
      <c r="H69" s="254"/>
      <c r="I69" s="254"/>
      <c r="J69" s="1558"/>
      <c r="K69" s="900"/>
      <c r="L69" s="234">
        <f aca="true" t="shared" si="0" ref="L69:L70">SUM(B69:K69)</f>
        <v>0</v>
      </c>
    </row>
    <row r="70" spans="1:12" ht="12.75">
      <c r="A70" s="225" t="s">
        <v>136</v>
      </c>
      <c r="B70" s="254"/>
      <c r="C70" s="254"/>
      <c r="D70" s="254"/>
      <c r="E70" s="254"/>
      <c r="F70" s="254"/>
      <c r="G70" s="254"/>
      <c r="H70" s="254"/>
      <c r="I70" s="254"/>
      <c r="J70" s="1558"/>
      <c r="K70" s="900"/>
      <c r="L70" s="234">
        <f t="shared" si="0"/>
        <v>0</v>
      </c>
    </row>
    <row r="71" spans="1:12" ht="12.75">
      <c r="A71" s="48" t="s">
        <v>44</v>
      </c>
      <c r="B71" s="254">
        <v>0.02</v>
      </c>
      <c r="C71" s="254"/>
      <c r="D71" s="254">
        <v>0.57</v>
      </c>
      <c r="E71" s="254">
        <v>0.01</v>
      </c>
      <c r="F71" s="254"/>
      <c r="G71" s="254"/>
      <c r="H71" s="254"/>
      <c r="I71" s="254">
        <v>0.13</v>
      </c>
      <c r="J71" s="254">
        <v>0.08</v>
      </c>
      <c r="K71" s="900"/>
      <c r="L71" s="234">
        <v>0.81</v>
      </c>
    </row>
    <row r="72" spans="1:12" ht="12.75">
      <c r="A72" s="48" t="s">
        <v>45</v>
      </c>
      <c r="B72" s="254"/>
      <c r="C72" s="254"/>
      <c r="D72" s="254">
        <v>0.04</v>
      </c>
      <c r="E72" s="254"/>
      <c r="F72" s="254"/>
      <c r="G72" s="254"/>
      <c r="H72" s="254"/>
      <c r="I72" s="254"/>
      <c r="J72" s="254"/>
      <c r="K72" s="900"/>
      <c r="L72" s="234">
        <v>0.04</v>
      </c>
    </row>
    <row r="73" spans="1:12" ht="13.5" thickBot="1">
      <c r="A73" s="57" t="s">
        <v>35</v>
      </c>
      <c r="B73" s="255"/>
      <c r="C73" s="255"/>
      <c r="D73" s="255"/>
      <c r="E73" s="255"/>
      <c r="F73" s="255"/>
      <c r="G73" s="255"/>
      <c r="H73" s="255"/>
      <c r="I73" s="255">
        <v>0</v>
      </c>
      <c r="J73" s="255"/>
      <c r="K73" s="1559">
        <v>0.99</v>
      </c>
      <c r="L73" s="257">
        <v>1</v>
      </c>
    </row>
    <row r="74" spans="1:12" ht="27" thickBot="1">
      <c r="A74" s="1348" t="s">
        <v>443</v>
      </c>
      <c r="B74" s="252"/>
      <c r="C74" s="1560" t="s">
        <v>426</v>
      </c>
      <c r="D74" s="1346">
        <v>12</v>
      </c>
      <c r="E74" s="1343"/>
      <c r="F74" s="1343"/>
      <c r="G74" s="1560" t="s">
        <v>427</v>
      </c>
      <c r="H74" s="1351">
        <v>0.815</v>
      </c>
      <c r="I74" s="1344"/>
      <c r="J74" s="1561" t="s">
        <v>428</v>
      </c>
      <c r="K74" s="1352">
        <v>3</v>
      </c>
      <c r="L74" s="580" t="s">
        <v>94</v>
      </c>
    </row>
    <row r="75" ht="12.75">
      <c r="L75" s="65"/>
    </row>
    <row r="76" spans="1:12" ht="28.5" thickBot="1">
      <c r="A76" s="1562"/>
      <c r="B76" s="1563"/>
      <c r="C76" s="1563"/>
      <c r="D76" s="1563"/>
      <c r="E76" s="1563"/>
      <c r="F76" s="1563"/>
      <c r="G76" s="1563"/>
      <c r="H76" s="1563"/>
      <c r="I76" s="1563"/>
      <c r="J76" s="1563"/>
      <c r="K76" s="1563"/>
      <c r="L76" s="1563"/>
    </row>
    <row r="77" spans="1:12" ht="27.75">
      <c r="A77" s="1547"/>
      <c r="B77" s="941" t="s">
        <v>293</v>
      </c>
      <c r="C77" s="91"/>
      <c r="D77" s="91"/>
      <c r="E77" s="91"/>
      <c r="F77" s="91"/>
      <c r="G77" s="91"/>
      <c r="H77" s="91"/>
      <c r="I77" s="91"/>
      <c r="J77" s="91"/>
      <c r="K77" s="91"/>
      <c r="L77" s="1133"/>
    </row>
    <row r="78" spans="1:12" ht="12.75">
      <c r="A78" s="1136" t="s">
        <v>10</v>
      </c>
      <c r="B78" s="142">
        <v>0.375</v>
      </c>
      <c r="C78" s="142"/>
      <c r="D78" s="142">
        <v>0.4</v>
      </c>
      <c r="E78" s="142">
        <v>0.45</v>
      </c>
      <c r="F78" s="142">
        <v>0.345</v>
      </c>
      <c r="G78" s="142">
        <v>1</v>
      </c>
      <c r="H78" s="142">
        <v>1</v>
      </c>
      <c r="I78" s="142">
        <v>0.345</v>
      </c>
      <c r="J78" s="91"/>
      <c r="K78" s="91"/>
      <c r="L78" s="1133"/>
    </row>
    <row r="79" spans="1:12" ht="12.75">
      <c r="A79" s="1136" t="s">
        <v>66</v>
      </c>
      <c r="B79" s="142">
        <v>0.29</v>
      </c>
      <c r="C79" s="142"/>
      <c r="D79" s="142">
        <v>0.35</v>
      </c>
      <c r="E79" s="142">
        <v>0.37</v>
      </c>
      <c r="F79" s="142">
        <v>0.3</v>
      </c>
      <c r="G79" s="142">
        <v>1</v>
      </c>
      <c r="H79" s="142">
        <v>1</v>
      </c>
      <c r="I79" s="142">
        <v>0.28</v>
      </c>
      <c r="J79" s="91"/>
      <c r="K79" s="91"/>
      <c r="L79" s="1133"/>
    </row>
    <row r="80" spans="1:12" ht="12.75">
      <c r="A80" s="1136" t="s">
        <v>67</v>
      </c>
      <c r="B80" s="142">
        <v>0.4</v>
      </c>
      <c r="C80" s="142"/>
      <c r="D80" s="142">
        <v>0.4</v>
      </c>
      <c r="E80" s="142">
        <v>0.4</v>
      </c>
      <c r="F80" s="142">
        <v>0.5</v>
      </c>
      <c r="G80" s="142">
        <v>1</v>
      </c>
      <c r="H80" s="142">
        <v>1</v>
      </c>
      <c r="I80" s="142">
        <v>0.4</v>
      </c>
      <c r="J80" s="142">
        <v>1</v>
      </c>
      <c r="K80" s="142">
        <v>1</v>
      </c>
      <c r="L80" s="1133"/>
    </row>
    <row r="81" spans="1:12" ht="13.5" thickBot="1">
      <c r="A81" s="1137" t="s">
        <v>12</v>
      </c>
      <c r="B81" s="144">
        <v>0.8</v>
      </c>
      <c r="C81" s="144"/>
      <c r="D81" s="144">
        <v>0.85</v>
      </c>
      <c r="E81" s="144">
        <v>0.85</v>
      </c>
      <c r="F81" s="144"/>
      <c r="G81" s="144"/>
      <c r="H81" s="144">
        <v>1</v>
      </c>
      <c r="I81" s="144">
        <v>0.75</v>
      </c>
      <c r="J81" s="144">
        <v>1</v>
      </c>
      <c r="K81" s="144">
        <v>1</v>
      </c>
      <c r="L81" s="1548"/>
    </row>
    <row r="82" spans="1:12" ht="18.75" thickBot="1">
      <c r="A82" s="1432" t="s">
        <v>444</v>
      </c>
      <c r="B82" s="1432"/>
      <c r="C82" s="1432"/>
      <c r="D82" s="1432"/>
      <c r="E82" s="1432"/>
      <c r="F82" s="1432"/>
      <c r="G82" s="1432"/>
      <c r="H82" s="1432"/>
      <c r="I82" s="1432"/>
      <c r="J82" s="1432"/>
      <c r="K82" s="1432"/>
      <c r="L82" s="1433"/>
    </row>
    <row r="83" spans="1:12" ht="16.5" thickBot="1">
      <c r="A83" s="1415" t="s">
        <v>64</v>
      </c>
      <c r="B83" s="1416"/>
      <c r="C83" s="1416"/>
      <c r="D83" s="1416"/>
      <c r="E83" s="1416"/>
      <c r="F83" s="1416"/>
      <c r="G83" s="1416"/>
      <c r="H83" s="1416"/>
      <c r="I83" s="1416"/>
      <c r="J83" s="1416"/>
      <c r="K83" s="1416"/>
      <c r="L83" s="1417"/>
    </row>
    <row r="84" spans="1:12" ht="12.75">
      <c r="A84" s="40" t="s">
        <v>0</v>
      </c>
      <c r="B84" s="41" t="s">
        <v>47</v>
      </c>
      <c r="C84" s="41" t="s">
        <v>48</v>
      </c>
      <c r="D84" s="1357" t="s">
        <v>230</v>
      </c>
      <c r="E84" s="41" t="s">
        <v>49</v>
      </c>
      <c r="F84" s="41" t="s">
        <v>50</v>
      </c>
      <c r="G84" s="41" t="s">
        <v>51</v>
      </c>
      <c r="H84" s="1357" t="s">
        <v>237</v>
      </c>
      <c r="I84" s="1357" t="s">
        <v>238</v>
      </c>
      <c r="J84" s="1357" t="s">
        <v>54</v>
      </c>
      <c r="K84" s="41" t="s">
        <v>55</v>
      </c>
      <c r="L84" s="43" t="s">
        <v>56</v>
      </c>
    </row>
    <row r="85" spans="1:12" ht="13.5" thickBot="1">
      <c r="A85" s="44" t="s">
        <v>1</v>
      </c>
      <c r="B85" s="45" t="s">
        <v>46</v>
      </c>
      <c r="C85" s="45" t="s">
        <v>58</v>
      </c>
      <c r="D85" s="1358" t="s">
        <v>59</v>
      </c>
      <c r="E85" s="45"/>
      <c r="F85" s="45"/>
      <c r="G85" s="45"/>
      <c r="H85" s="1358" t="s">
        <v>241</v>
      </c>
      <c r="I85" s="1358" t="s">
        <v>239</v>
      </c>
      <c r="J85" s="1358"/>
      <c r="K85" s="45"/>
      <c r="L85" s="47"/>
    </row>
    <row r="86" spans="1:12" ht="12.75">
      <c r="A86" s="48" t="s">
        <v>2</v>
      </c>
      <c r="B86" s="49">
        <v>45.7</v>
      </c>
      <c r="C86" s="49">
        <v>3.87</v>
      </c>
      <c r="D86" s="49"/>
      <c r="E86" s="49">
        <v>11.11</v>
      </c>
      <c r="F86" s="49">
        <v>35.16</v>
      </c>
      <c r="G86" s="49">
        <v>1.6</v>
      </c>
      <c r="H86" s="49">
        <v>4.77</v>
      </c>
      <c r="I86" s="49">
        <v>24.86</v>
      </c>
      <c r="J86" s="49"/>
      <c r="K86" s="49"/>
      <c r="L86" s="55">
        <v>127.09</v>
      </c>
    </row>
    <row r="87" spans="1:12" ht="12.75">
      <c r="A87" s="48" t="s">
        <v>5</v>
      </c>
      <c r="B87" s="49">
        <v>26.76</v>
      </c>
      <c r="C87" s="49">
        <v>100.11</v>
      </c>
      <c r="D87" s="49">
        <v>33.29</v>
      </c>
      <c r="E87" s="49">
        <v>76.32</v>
      </c>
      <c r="F87" s="49"/>
      <c r="G87" s="49"/>
      <c r="H87" s="49"/>
      <c r="I87" s="49">
        <v>0</v>
      </c>
      <c r="J87" s="49">
        <v>3.6</v>
      </c>
      <c r="K87" s="49"/>
      <c r="L87" s="55">
        <v>240.08</v>
      </c>
    </row>
    <row r="88" spans="1:12" ht="12.75">
      <c r="A88" s="48" t="s">
        <v>6</v>
      </c>
      <c r="B88" s="49">
        <v>-0.87</v>
      </c>
      <c r="C88" s="49">
        <v>-0.11</v>
      </c>
      <c r="D88" s="49">
        <v>-22.45</v>
      </c>
      <c r="E88" s="49">
        <v>-9.05</v>
      </c>
      <c r="F88" s="49"/>
      <c r="G88" s="49"/>
      <c r="H88" s="49"/>
      <c r="I88" s="49"/>
      <c r="J88" s="49">
        <v>-4.66</v>
      </c>
      <c r="K88" s="49">
        <v>-0.01</v>
      </c>
      <c r="L88" s="55">
        <v>-37.15</v>
      </c>
    </row>
    <row r="89" spans="1:12" ht="12.75">
      <c r="A89" s="3" t="s">
        <v>3</v>
      </c>
      <c r="B89" s="49"/>
      <c r="C89" s="49"/>
      <c r="D89" s="1549">
        <v>-2.7</v>
      </c>
      <c r="E89" s="49"/>
      <c r="F89" s="49"/>
      <c r="G89" s="49"/>
      <c r="H89" s="49"/>
      <c r="I89" s="49"/>
      <c r="J89" s="49"/>
      <c r="K89" s="49"/>
      <c r="L89" s="5">
        <v>-2.7</v>
      </c>
    </row>
    <row r="90" spans="1:12" ht="12.75">
      <c r="A90" s="3" t="s">
        <v>105</v>
      </c>
      <c r="B90" s="49"/>
      <c r="C90" s="49"/>
      <c r="D90" s="1549">
        <v>-7.13</v>
      </c>
      <c r="E90" s="49"/>
      <c r="F90" s="49"/>
      <c r="G90" s="49"/>
      <c r="H90" s="49"/>
      <c r="I90" s="49"/>
      <c r="J90" s="49"/>
      <c r="K90" s="49"/>
      <c r="L90" s="5">
        <v>-7.13</v>
      </c>
    </row>
    <row r="91" spans="1:12" ht="12.75">
      <c r="A91" s="48" t="s">
        <v>7</v>
      </c>
      <c r="B91" s="49">
        <v>0.02</v>
      </c>
      <c r="C91" s="49">
        <v>0.4</v>
      </c>
      <c r="D91" s="49">
        <v>-0.25</v>
      </c>
      <c r="E91" s="49">
        <v>-1.83</v>
      </c>
      <c r="F91" s="49"/>
      <c r="G91" s="49"/>
      <c r="H91" s="49"/>
      <c r="I91" s="49"/>
      <c r="J91" s="49"/>
      <c r="K91" s="49"/>
      <c r="L91" s="55">
        <v>-1.66</v>
      </c>
    </row>
    <row r="92" spans="1:12" ht="13.5" thickBot="1">
      <c r="A92" s="518" t="s">
        <v>236</v>
      </c>
      <c r="B92" s="56">
        <v>-0.25</v>
      </c>
      <c r="C92" s="56"/>
      <c r="D92" s="56">
        <v>-20.39</v>
      </c>
      <c r="E92" s="56">
        <v>-1.75</v>
      </c>
      <c r="F92" s="49"/>
      <c r="G92" s="49"/>
      <c r="H92" s="49"/>
      <c r="I92" s="49"/>
      <c r="J92" s="49"/>
      <c r="K92" s="49"/>
      <c r="L92" s="1564">
        <v>-22.39</v>
      </c>
    </row>
    <row r="93" spans="1:12" ht="15.75" thickBot="1">
      <c r="A93" s="50" t="s">
        <v>8</v>
      </c>
      <c r="B93" s="51">
        <f>71.62+B92</f>
        <v>71.37</v>
      </c>
      <c r="C93" s="51">
        <v>104.27</v>
      </c>
      <c r="D93" s="1565">
        <f>0.75+D92</f>
        <v>-19.64</v>
      </c>
      <c r="E93" s="51">
        <f>76.56+E92</f>
        <v>74.81</v>
      </c>
      <c r="F93" s="51">
        <v>35.16</v>
      </c>
      <c r="G93" s="51">
        <v>1.6</v>
      </c>
      <c r="H93" s="51">
        <v>4.77</v>
      </c>
      <c r="I93" s="51">
        <v>24.86</v>
      </c>
      <c r="J93" s="51">
        <v>-1.06</v>
      </c>
      <c r="K93" s="51">
        <v>-0.01</v>
      </c>
      <c r="L93" s="52">
        <f>318.53+L92</f>
        <v>296.14</v>
      </c>
    </row>
    <row r="94" spans="1:12" ht="15.75" thickBot="1">
      <c r="A94" s="84"/>
      <c r="B94" s="1566" t="s">
        <v>121</v>
      </c>
      <c r="C94" s="85"/>
      <c r="D94" s="85"/>
      <c r="E94" s="85"/>
      <c r="F94" s="902">
        <f>F93/($F93+$G93+$H93)</f>
        <v>0.8466169034432939</v>
      </c>
      <c r="G94" s="902">
        <f>G93/($F93+$G93+$H93)</f>
        <v>0.03852636648206116</v>
      </c>
      <c r="H94" s="902">
        <f>H93/($F93+$G93+$H93)</f>
        <v>0.11485673007464482</v>
      </c>
      <c r="I94" s="85"/>
      <c r="J94" s="85"/>
      <c r="K94" s="85"/>
      <c r="L94" s="85"/>
    </row>
    <row r="95" spans="1:12" ht="12.75">
      <c r="A95" s="1567" t="s">
        <v>9</v>
      </c>
      <c r="B95" s="1568"/>
      <c r="C95" s="1568">
        <v>2.27</v>
      </c>
      <c r="D95" s="1568">
        <v>-1.64</v>
      </c>
      <c r="E95" s="1568"/>
      <c r="F95" s="1568"/>
      <c r="G95" s="1568"/>
      <c r="H95" s="1568"/>
      <c r="I95" s="1568"/>
      <c r="J95" s="1568"/>
      <c r="K95" s="1568"/>
      <c r="L95" s="1569">
        <v>0.63</v>
      </c>
    </row>
    <row r="96" spans="1:12" ht="12.75">
      <c r="A96" s="1570" t="s">
        <v>13</v>
      </c>
      <c r="B96" s="54">
        <v>0.49</v>
      </c>
      <c r="C96" s="54">
        <v>-0.18</v>
      </c>
      <c r="D96" s="54">
        <v>0.63</v>
      </c>
      <c r="E96" s="54">
        <v>-1.92</v>
      </c>
      <c r="F96" s="54"/>
      <c r="G96" s="54"/>
      <c r="H96" s="54">
        <v>-0.01</v>
      </c>
      <c r="I96" s="54">
        <v>0</v>
      </c>
      <c r="J96" s="54"/>
      <c r="K96" s="54"/>
      <c r="L96" s="1571">
        <v>-0.99</v>
      </c>
    </row>
    <row r="97" spans="1:12" ht="14.25">
      <c r="A97" s="1570" t="s">
        <v>10</v>
      </c>
      <c r="B97" s="279">
        <v>-53.86</v>
      </c>
      <c r="C97" s="279"/>
      <c r="D97" s="279">
        <v>-1.5</v>
      </c>
      <c r="E97" s="279">
        <v>-4.58</v>
      </c>
      <c r="F97" s="279">
        <v>-35.16</v>
      </c>
      <c r="G97" s="279">
        <v>-1.6</v>
      </c>
      <c r="H97" s="279">
        <v>-3.9</v>
      </c>
      <c r="I97" s="279">
        <v>-9.44</v>
      </c>
      <c r="J97" s="54">
        <v>43.81</v>
      </c>
      <c r="K97" s="87"/>
      <c r="L97" s="1571">
        <v>-66.25</v>
      </c>
    </row>
    <row r="98" spans="1:12" ht="12.75">
      <c r="A98" s="1570" t="s">
        <v>11</v>
      </c>
      <c r="B98" s="149">
        <v>-6.63</v>
      </c>
      <c r="C98" s="142"/>
      <c r="D98" s="149">
        <v>-0.53</v>
      </c>
      <c r="E98" s="149">
        <v>-10.1</v>
      </c>
      <c r="F98" s="149"/>
      <c r="G98" s="149"/>
      <c r="H98" s="149"/>
      <c r="I98" s="149">
        <v>-3.24</v>
      </c>
      <c r="J98" s="54">
        <v>6.63</v>
      </c>
      <c r="K98" s="54">
        <v>8.2</v>
      </c>
      <c r="L98" s="1571">
        <v>-5.68</v>
      </c>
    </row>
    <row r="99" spans="1:12" ht="12.75">
      <c r="A99" s="1570" t="s">
        <v>12</v>
      </c>
      <c r="B99" s="149">
        <v>-0.62</v>
      </c>
      <c r="C99" s="149"/>
      <c r="D99" s="149">
        <v>-0.18</v>
      </c>
      <c r="E99" s="149">
        <v>-1.9</v>
      </c>
      <c r="F99" s="149"/>
      <c r="G99" s="149"/>
      <c r="H99" s="149">
        <v>-0.05</v>
      </c>
      <c r="I99" s="149">
        <v>-1.05</v>
      </c>
      <c r="J99" s="54"/>
      <c r="K99" s="54">
        <v>3.04</v>
      </c>
      <c r="L99" s="1571">
        <v>-0.76</v>
      </c>
    </row>
    <row r="100" spans="1:12" ht="12.75">
      <c r="A100" s="1572" t="s">
        <v>229</v>
      </c>
      <c r="B100" s="237">
        <v>-3.6</v>
      </c>
      <c r="C100" s="237"/>
      <c r="D100" s="237">
        <v>-0.25</v>
      </c>
      <c r="E100" s="237"/>
      <c r="F100" s="237"/>
      <c r="G100" s="237"/>
      <c r="H100" s="237"/>
      <c r="I100" s="237"/>
      <c r="J100" s="54"/>
      <c r="K100" s="54"/>
      <c r="L100" s="1571">
        <v>-3.85</v>
      </c>
    </row>
    <row r="101" spans="1:12" ht="12.75">
      <c r="A101" s="619" t="s">
        <v>14</v>
      </c>
      <c r="B101" s="54"/>
      <c r="C101" s="54"/>
      <c r="D101" s="54"/>
      <c r="E101" s="54"/>
      <c r="F101" s="54"/>
      <c r="G101" s="54"/>
      <c r="H101" s="54"/>
      <c r="I101" s="54"/>
      <c r="J101" s="54"/>
      <c r="K101" s="54"/>
      <c r="L101" s="1571"/>
    </row>
    <row r="102" spans="1:12" ht="12.75">
      <c r="A102" s="619" t="s">
        <v>232</v>
      </c>
      <c r="B102" s="54"/>
      <c r="C102" s="54">
        <v>-111.57</v>
      </c>
      <c r="D102" s="54">
        <v>110</v>
      </c>
      <c r="E102" s="54"/>
      <c r="F102" s="54"/>
      <c r="G102" s="54"/>
      <c r="H102" s="54"/>
      <c r="I102" s="54"/>
      <c r="J102" s="54"/>
      <c r="K102" s="54"/>
      <c r="L102" s="1571">
        <v>-1.57</v>
      </c>
    </row>
    <row r="103" spans="1:12" ht="12.75">
      <c r="A103" s="619" t="s">
        <v>233</v>
      </c>
      <c r="B103" s="54"/>
      <c r="C103" s="54">
        <v>5.21</v>
      </c>
      <c r="D103" s="54">
        <v>-5.32</v>
      </c>
      <c r="E103" s="54"/>
      <c r="F103" s="54"/>
      <c r="G103" s="54"/>
      <c r="H103" s="54"/>
      <c r="I103" s="54"/>
      <c r="J103" s="54"/>
      <c r="K103" s="54"/>
      <c r="L103" s="1571">
        <v>-0.11</v>
      </c>
    </row>
    <row r="104" spans="1:12" ht="12.75">
      <c r="A104" s="619" t="s">
        <v>231</v>
      </c>
      <c r="B104" s="54">
        <v>0.5</v>
      </c>
      <c r="C104" s="54"/>
      <c r="D104" s="54">
        <v>-0.4</v>
      </c>
      <c r="E104" s="54">
        <v>-0.04</v>
      </c>
      <c r="F104" s="54"/>
      <c r="G104" s="54"/>
      <c r="H104" s="54"/>
      <c r="I104" s="54"/>
      <c r="J104" s="54"/>
      <c r="K104" s="54"/>
      <c r="L104" s="1571">
        <v>0.05</v>
      </c>
    </row>
    <row r="105" spans="1:12" ht="12.75">
      <c r="A105" s="1570" t="s">
        <v>17</v>
      </c>
      <c r="B105" s="54"/>
      <c r="C105" s="54"/>
      <c r="D105" s="54"/>
      <c r="E105" s="54"/>
      <c r="F105" s="54"/>
      <c r="G105" s="54"/>
      <c r="H105" s="54"/>
      <c r="I105" s="54"/>
      <c r="J105" s="54"/>
      <c r="K105" s="54"/>
      <c r="L105" s="1571"/>
    </row>
    <row r="106" spans="1:12" ht="12.75">
      <c r="A106" s="1570" t="s">
        <v>18</v>
      </c>
      <c r="B106" s="54"/>
      <c r="C106" s="54"/>
      <c r="D106" s="54"/>
      <c r="E106" s="54"/>
      <c r="F106" s="54"/>
      <c r="G106" s="54"/>
      <c r="H106" s="54"/>
      <c r="I106" s="54"/>
      <c r="J106" s="54"/>
      <c r="K106" s="54"/>
      <c r="L106" s="1571"/>
    </row>
    <row r="107" spans="1:12" ht="12.75">
      <c r="A107" s="1570" t="s">
        <v>234</v>
      </c>
      <c r="B107" s="54">
        <v>-0.78</v>
      </c>
      <c r="C107" s="54"/>
      <c r="D107" s="54">
        <v>-6.47</v>
      </c>
      <c r="E107" s="54">
        <v>-0.74</v>
      </c>
      <c r="F107" s="54"/>
      <c r="G107" s="54"/>
      <c r="H107" s="54"/>
      <c r="I107" s="54">
        <v>0</v>
      </c>
      <c r="J107" s="54">
        <v>-4.61</v>
      </c>
      <c r="K107" s="54">
        <v>-0.12</v>
      </c>
      <c r="L107" s="1571">
        <v>-12.72</v>
      </c>
    </row>
    <row r="108" spans="1:12" ht="13.5" thickBot="1">
      <c r="A108" s="1573" t="s">
        <v>235</v>
      </c>
      <c r="B108" s="1574">
        <v>-0.32</v>
      </c>
      <c r="C108" s="1574"/>
      <c r="D108" s="1574"/>
      <c r="E108" s="1574">
        <v>0</v>
      </c>
      <c r="F108" s="1574"/>
      <c r="G108" s="1574"/>
      <c r="H108" s="1574"/>
      <c r="I108" s="1574">
        <v>-0.02</v>
      </c>
      <c r="J108" s="1574">
        <v>-2.15</v>
      </c>
      <c r="K108" s="1574">
        <v>-0.87</v>
      </c>
      <c r="L108" s="1575">
        <v>-3.36</v>
      </c>
    </row>
    <row r="109" spans="1:12" ht="15.75" thickBot="1">
      <c r="A109" s="3"/>
      <c r="B109" s="198"/>
      <c r="C109" s="198"/>
      <c r="D109" s="198"/>
      <c r="E109" s="198"/>
      <c r="F109" s="198"/>
      <c r="G109" s="198"/>
      <c r="H109" s="198"/>
      <c r="I109" s="198"/>
      <c r="J109" s="198"/>
      <c r="K109" s="198"/>
      <c r="L109" s="86"/>
    </row>
    <row r="110" spans="1:12" ht="15.75" thickBot="1">
      <c r="A110" s="50" t="s">
        <v>21</v>
      </c>
      <c r="B110" s="51">
        <f>6.81+B92</f>
        <v>6.56</v>
      </c>
      <c r="C110" s="51"/>
      <c r="D110" s="51">
        <f>95.08+D92</f>
        <v>74.69</v>
      </c>
      <c r="E110" s="51">
        <f>57.27+E92</f>
        <v>55.52</v>
      </c>
      <c r="F110" s="51"/>
      <c r="G110" s="51"/>
      <c r="H110" s="51">
        <v>0.81</v>
      </c>
      <c r="I110" s="51">
        <v>11.09</v>
      </c>
      <c r="J110" s="51">
        <v>42.62</v>
      </c>
      <c r="K110" s="51">
        <v>10.24</v>
      </c>
      <c r="L110" s="52">
        <f>223.92+L92</f>
        <v>201.52999999999997</v>
      </c>
    </row>
    <row r="111" spans="1:12" ht="12.75">
      <c r="A111" s="55" t="s">
        <v>22</v>
      </c>
      <c r="B111" s="56">
        <v>5.36</v>
      </c>
      <c r="C111" s="56"/>
      <c r="D111" s="56">
        <v>3.08</v>
      </c>
      <c r="E111" s="56">
        <v>15.16</v>
      </c>
      <c r="F111" s="56"/>
      <c r="G111" s="56"/>
      <c r="H111" s="56"/>
      <c r="I111" s="56">
        <v>3.31</v>
      </c>
      <c r="J111" s="56">
        <v>17.38</v>
      </c>
      <c r="K111" s="56">
        <v>3.63</v>
      </c>
      <c r="L111" s="55">
        <v>47.91</v>
      </c>
    </row>
    <row r="112" spans="1:12" ht="12.75">
      <c r="A112" s="48" t="s">
        <v>23</v>
      </c>
      <c r="B112" s="49">
        <v>3.07</v>
      </c>
      <c r="C112" s="49"/>
      <c r="D112" s="49">
        <v>0.48</v>
      </c>
      <c r="E112" s="49">
        <v>1.58</v>
      </c>
      <c r="F112" s="49"/>
      <c r="G112" s="49"/>
      <c r="H112" s="49"/>
      <c r="I112" s="49">
        <v>0</v>
      </c>
      <c r="J112" s="49">
        <v>1.93</v>
      </c>
      <c r="K112" s="49">
        <v>0.04</v>
      </c>
      <c r="L112" s="55">
        <v>7.09</v>
      </c>
    </row>
    <row r="113" spans="1:12" ht="12.75">
      <c r="A113" s="48" t="s">
        <v>24</v>
      </c>
      <c r="B113" s="49">
        <v>0.41</v>
      </c>
      <c r="C113" s="49"/>
      <c r="D113" s="49"/>
      <c r="E113" s="49">
        <v>3.92</v>
      </c>
      <c r="F113" s="49"/>
      <c r="G113" s="49"/>
      <c r="H113" s="49"/>
      <c r="I113" s="49">
        <v>0.4</v>
      </c>
      <c r="J113" s="49">
        <v>3.86</v>
      </c>
      <c r="K113" s="49">
        <v>2.12</v>
      </c>
      <c r="L113" s="55">
        <v>10.7</v>
      </c>
    </row>
    <row r="114" spans="1:12" ht="12.75">
      <c r="A114" s="48" t="s">
        <v>25</v>
      </c>
      <c r="B114" s="49">
        <v>0.02</v>
      </c>
      <c r="C114" s="49"/>
      <c r="D114" s="49">
        <v>0.13</v>
      </c>
      <c r="E114" s="49">
        <v>0.58</v>
      </c>
      <c r="F114" s="49"/>
      <c r="G114" s="49"/>
      <c r="H114" s="49"/>
      <c r="I114" s="49">
        <v>0.01</v>
      </c>
      <c r="J114" s="49">
        <v>0.95</v>
      </c>
      <c r="K114" s="49">
        <v>0.02</v>
      </c>
      <c r="L114" s="55">
        <v>1.7</v>
      </c>
    </row>
    <row r="115" spans="1:12" ht="12.75">
      <c r="A115" s="48" t="s">
        <v>26</v>
      </c>
      <c r="B115" s="49">
        <v>1.21</v>
      </c>
      <c r="C115" s="49"/>
      <c r="D115" s="49">
        <v>0.75</v>
      </c>
      <c r="E115" s="49">
        <v>2.03</v>
      </c>
      <c r="F115" s="49"/>
      <c r="G115" s="49"/>
      <c r="H115" s="49"/>
      <c r="I115" s="49">
        <v>0.96</v>
      </c>
      <c r="J115" s="49">
        <v>1</v>
      </c>
      <c r="K115" s="49">
        <v>0.01</v>
      </c>
      <c r="L115" s="55">
        <v>5.96</v>
      </c>
    </row>
    <row r="116" spans="1:12" ht="12.75">
      <c r="A116" s="48" t="s">
        <v>27</v>
      </c>
      <c r="B116" s="49">
        <v>0.03</v>
      </c>
      <c r="C116" s="49"/>
      <c r="D116" s="49">
        <v>0.06</v>
      </c>
      <c r="E116" s="49">
        <v>0.68</v>
      </c>
      <c r="F116" s="49"/>
      <c r="G116" s="49"/>
      <c r="H116" s="49"/>
      <c r="I116" s="49">
        <v>0</v>
      </c>
      <c r="J116" s="49">
        <v>1.36</v>
      </c>
      <c r="K116" s="49">
        <v>0.35</v>
      </c>
      <c r="L116" s="55">
        <v>2.48</v>
      </c>
    </row>
    <row r="117" spans="1:12" ht="12.75">
      <c r="A117" s="48" t="s">
        <v>28</v>
      </c>
      <c r="B117" s="49">
        <v>0.02</v>
      </c>
      <c r="C117" s="49"/>
      <c r="D117" s="49">
        <v>0.4</v>
      </c>
      <c r="E117" s="49">
        <v>1.46</v>
      </c>
      <c r="F117" s="49"/>
      <c r="G117" s="49"/>
      <c r="H117" s="49"/>
      <c r="I117" s="49">
        <v>0.03</v>
      </c>
      <c r="J117" s="49">
        <v>0.86</v>
      </c>
      <c r="K117" s="49">
        <v>0.12</v>
      </c>
      <c r="L117" s="55">
        <v>2.9</v>
      </c>
    </row>
    <row r="118" spans="1:12" ht="12.75">
      <c r="A118" s="48" t="s">
        <v>29</v>
      </c>
      <c r="B118" s="49">
        <v>0.05</v>
      </c>
      <c r="C118" s="49"/>
      <c r="D118" s="49">
        <v>0.08</v>
      </c>
      <c r="E118" s="49">
        <v>0.13</v>
      </c>
      <c r="F118" s="49"/>
      <c r="G118" s="49"/>
      <c r="H118" s="49"/>
      <c r="I118" s="49">
        <v>0.02</v>
      </c>
      <c r="J118" s="49">
        <v>0.18</v>
      </c>
      <c r="K118" s="49">
        <v>0</v>
      </c>
      <c r="L118" s="55">
        <v>0.46</v>
      </c>
    </row>
    <row r="119" spans="1:12" ht="12.75">
      <c r="A119" s="48" t="s">
        <v>30</v>
      </c>
      <c r="B119" s="49">
        <v>0.17</v>
      </c>
      <c r="C119" s="49"/>
      <c r="D119" s="49">
        <v>0.52</v>
      </c>
      <c r="E119" s="49">
        <v>2.06</v>
      </c>
      <c r="F119" s="49"/>
      <c r="G119" s="49"/>
      <c r="H119" s="49"/>
      <c r="I119" s="49">
        <v>0.08</v>
      </c>
      <c r="J119" s="49">
        <v>1.53</v>
      </c>
      <c r="K119" s="49">
        <v>0.16</v>
      </c>
      <c r="L119" s="55">
        <v>4.53</v>
      </c>
    </row>
    <row r="120" spans="1:12" ht="12.75">
      <c r="A120" s="48" t="s">
        <v>31</v>
      </c>
      <c r="B120" s="49">
        <v>0.36</v>
      </c>
      <c r="C120" s="49"/>
      <c r="D120" s="49">
        <v>0.1</v>
      </c>
      <c r="E120" s="49">
        <v>1.86</v>
      </c>
      <c r="F120" s="49"/>
      <c r="G120" s="49"/>
      <c r="H120" s="49"/>
      <c r="I120" s="49">
        <v>0.86</v>
      </c>
      <c r="J120" s="49">
        <v>2.06</v>
      </c>
      <c r="K120" s="49">
        <v>0.38</v>
      </c>
      <c r="L120" s="55">
        <v>5.61</v>
      </c>
    </row>
    <row r="121" spans="1:12" ht="12.75">
      <c r="A121" s="48" t="s">
        <v>32</v>
      </c>
      <c r="B121" s="49">
        <v>0</v>
      </c>
      <c r="C121" s="49"/>
      <c r="D121" s="49">
        <v>0.05</v>
      </c>
      <c r="E121" s="49">
        <v>0.11</v>
      </c>
      <c r="F121" s="49"/>
      <c r="G121" s="49"/>
      <c r="H121" s="49"/>
      <c r="I121" s="49">
        <v>0.84</v>
      </c>
      <c r="J121" s="49">
        <v>0.38</v>
      </c>
      <c r="K121" s="49">
        <v>0.09</v>
      </c>
      <c r="L121" s="55">
        <v>1.48</v>
      </c>
    </row>
    <row r="122" spans="1:12" ht="12.75">
      <c r="A122" s="48" t="s">
        <v>33</v>
      </c>
      <c r="B122" s="49"/>
      <c r="C122" s="49"/>
      <c r="D122" s="269">
        <v>0</v>
      </c>
      <c r="E122" s="49"/>
      <c r="F122" s="49"/>
      <c r="G122" s="49"/>
      <c r="H122" s="49"/>
      <c r="I122" s="49"/>
      <c r="J122" s="49">
        <v>0.07</v>
      </c>
      <c r="K122" s="49"/>
      <c r="L122" s="55">
        <v>0.07</v>
      </c>
    </row>
    <row r="123" spans="1:12" ht="12.75">
      <c r="A123" s="48" t="s">
        <v>34</v>
      </c>
      <c r="B123" s="49">
        <v>0.01</v>
      </c>
      <c r="C123" s="49"/>
      <c r="D123" s="49">
        <v>0.04</v>
      </c>
      <c r="E123" s="49">
        <v>0.21</v>
      </c>
      <c r="F123" s="49"/>
      <c r="G123" s="49"/>
      <c r="H123" s="49"/>
      <c r="I123" s="49">
        <v>0</v>
      </c>
      <c r="J123" s="49">
        <v>0.2</v>
      </c>
      <c r="K123" s="49">
        <v>0.01</v>
      </c>
      <c r="L123" s="55">
        <v>0.47</v>
      </c>
    </row>
    <row r="124" spans="1:12" ht="12.75">
      <c r="A124" s="57" t="s">
        <v>35</v>
      </c>
      <c r="B124" s="58">
        <v>0.01</v>
      </c>
      <c r="C124" s="58"/>
      <c r="D124" s="58">
        <v>0.47</v>
      </c>
      <c r="E124" s="58">
        <v>0.54</v>
      </c>
      <c r="F124" s="58"/>
      <c r="G124" s="58"/>
      <c r="H124" s="58"/>
      <c r="I124" s="58">
        <v>0.12</v>
      </c>
      <c r="J124" s="58">
        <v>2.99</v>
      </c>
      <c r="K124" s="58">
        <v>0.32</v>
      </c>
      <c r="L124" s="67">
        <v>4.44</v>
      </c>
    </row>
    <row r="125" spans="1:12" ht="12.75">
      <c r="A125" s="55" t="s">
        <v>36</v>
      </c>
      <c r="B125" s="56"/>
      <c r="C125" s="215"/>
      <c r="D125" s="215">
        <v>49.64</v>
      </c>
      <c r="E125" s="214">
        <v>0.13</v>
      </c>
      <c r="F125" s="215"/>
      <c r="G125" s="215"/>
      <c r="H125" s="215"/>
      <c r="I125" s="215">
        <v>2.78</v>
      </c>
      <c r="J125" s="215">
        <v>1.37</v>
      </c>
      <c r="K125" s="215"/>
      <c r="L125" s="55">
        <v>53.92</v>
      </c>
    </row>
    <row r="126" spans="1:12" ht="12.75">
      <c r="A126" s="261" t="s">
        <v>98</v>
      </c>
      <c r="B126" s="49"/>
      <c r="C126" s="254"/>
      <c r="D126" s="237">
        <v>1.8</v>
      </c>
      <c r="E126" s="254"/>
      <c r="F126" s="254"/>
      <c r="G126" s="254"/>
      <c r="H126" s="254"/>
      <c r="I126" s="254"/>
      <c r="J126" s="254"/>
      <c r="K126" s="254"/>
      <c r="L126" s="59">
        <v>1.8</v>
      </c>
    </row>
    <row r="127" spans="1:12" ht="13.5" thickBot="1">
      <c r="A127" s="261" t="s">
        <v>283</v>
      </c>
      <c r="B127" s="49"/>
      <c r="C127" s="254"/>
      <c r="D127" s="237">
        <v>47.22</v>
      </c>
      <c r="E127" s="254">
        <v>0.13</v>
      </c>
      <c r="F127" s="254"/>
      <c r="G127" s="254"/>
      <c r="H127" s="254"/>
      <c r="I127" s="254"/>
      <c r="J127" s="254">
        <v>1.37</v>
      </c>
      <c r="K127" s="254"/>
      <c r="L127" s="59">
        <v>1.78</v>
      </c>
    </row>
    <row r="128" spans="1:12" ht="13.5" thickBot="1">
      <c r="A128" s="853"/>
      <c r="B128" s="854"/>
      <c r="C128" s="855" t="s">
        <v>258</v>
      </c>
      <c r="D128" s="856" t="s">
        <v>260</v>
      </c>
      <c r="E128" s="860" t="s">
        <v>120</v>
      </c>
      <c r="F128" s="1576"/>
      <c r="G128" s="1577"/>
      <c r="H128" s="1578"/>
      <c r="I128" s="859" t="s">
        <v>282</v>
      </c>
      <c r="J128" s="860" t="s">
        <v>257</v>
      </c>
      <c r="K128" s="861"/>
      <c r="L128" s="1554"/>
    </row>
    <row r="129" spans="1:12" ht="12.75">
      <c r="A129" s="853" t="s">
        <v>284</v>
      </c>
      <c r="B129" s="854"/>
      <c r="C129" s="1555"/>
      <c r="D129" s="1556"/>
      <c r="E129" s="862"/>
      <c r="F129" s="1576"/>
      <c r="G129" s="1577"/>
      <c r="H129" s="1578"/>
      <c r="I129" s="1557"/>
      <c r="J129" s="862"/>
      <c r="K129" s="861"/>
      <c r="L129" s="863"/>
    </row>
    <row r="130" spans="1:12" ht="12.75">
      <c r="A130" s="864" t="s">
        <v>127</v>
      </c>
      <c r="B130" s="865"/>
      <c r="C130" s="866"/>
      <c r="D130" s="867"/>
      <c r="E130" s="868"/>
      <c r="F130" s="865"/>
      <c r="G130" s="865"/>
      <c r="H130" s="865"/>
      <c r="I130" s="869"/>
      <c r="J130" s="868"/>
      <c r="K130" s="865"/>
      <c r="L130" s="870"/>
    </row>
    <row r="131" spans="1:12" ht="12.75">
      <c r="A131" s="871" t="s">
        <v>128</v>
      </c>
      <c r="B131" s="872"/>
      <c r="C131" s="873"/>
      <c r="D131" s="874"/>
      <c r="E131" s="875"/>
      <c r="F131" s="872"/>
      <c r="G131" s="872"/>
      <c r="H131" s="872"/>
      <c r="I131" s="876"/>
      <c r="J131" s="875"/>
      <c r="K131" s="872"/>
      <c r="L131" s="877"/>
    </row>
    <row r="132" spans="1:12" ht="12.75">
      <c r="A132" s="871" t="s">
        <v>285</v>
      </c>
      <c r="B132" s="872"/>
      <c r="C132" s="873"/>
      <c r="D132" s="874"/>
      <c r="E132" s="875"/>
      <c r="F132" s="872"/>
      <c r="G132" s="872"/>
      <c r="H132" s="872"/>
      <c r="I132" s="876"/>
      <c r="J132" s="875"/>
      <c r="K132" s="872"/>
      <c r="L132" s="877"/>
    </row>
    <row r="133" spans="1:12" ht="12.75">
      <c r="A133" s="871" t="s">
        <v>134</v>
      </c>
      <c r="B133" s="872"/>
      <c r="C133" s="873"/>
      <c r="D133" s="874"/>
      <c r="E133" s="875"/>
      <c r="F133" s="872"/>
      <c r="G133" s="872"/>
      <c r="H133" s="872"/>
      <c r="I133" s="876"/>
      <c r="J133" s="875"/>
      <c r="K133" s="872"/>
      <c r="L133" s="877"/>
    </row>
    <row r="134" spans="1:12" ht="12.75">
      <c r="A134" s="871" t="s">
        <v>131</v>
      </c>
      <c r="B134" s="872"/>
      <c r="C134" s="873"/>
      <c r="D134" s="874"/>
      <c r="E134" s="875"/>
      <c r="F134" s="872"/>
      <c r="G134" s="872"/>
      <c r="H134" s="872"/>
      <c r="I134" s="876"/>
      <c r="J134" s="875"/>
      <c r="K134" s="872"/>
      <c r="L134" s="877"/>
    </row>
    <row r="135" spans="1:12" ht="12.75">
      <c r="A135" s="864" t="s">
        <v>132</v>
      </c>
      <c r="B135" s="865"/>
      <c r="C135" s="866"/>
      <c r="D135" s="867"/>
      <c r="E135" s="868"/>
      <c r="F135" s="865"/>
      <c r="G135" s="865"/>
      <c r="H135" s="865"/>
      <c r="I135" s="869"/>
      <c r="J135" s="868"/>
      <c r="K135" s="865"/>
      <c r="L135" s="870"/>
    </row>
    <row r="136" spans="1:12" ht="12.75">
      <c r="A136" s="48" t="s">
        <v>39</v>
      </c>
      <c r="B136" s="49"/>
      <c r="C136" s="617">
        <v>0.42</v>
      </c>
      <c r="D136" s="231"/>
      <c r="E136" s="618"/>
      <c r="F136" s="254"/>
      <c r="G136" s="254"/>
      <c r="H136" s="254"/>
      <c r="I136" s="619"/>
      <c r="J136" s="618">
        <v>1.37</v>
      </c>
      <c r="K136" s="254"/>
      <c r="L136" s="55">
        <v>1.78</v>
      </c>
    </row>
    <row r="137" spans="1:12" ht="12.75">
      <c r="A137" s="864" t="s">
        <v>127</v>
      </c>
      <c r="B137" s="865"/>
      <c r="C137" s="866"/>
      <c r="D137" s="867"/>
      <c r="E137" s="868"/>
      <c r="F137" s="865"/>
      <c r="G137" s="865"/>
      <c r="H137" s="865"/>
      <c r="I137" s="869"/>
      <c r="J137" s="868"/>
      <c r="K137" s="865"/>
      <c r="L137" s="870"/>
    </row>
    <row r="138" spans="1:12" ht="13.5" thickBot="1">
      <c r="A138" s="864" t="s">
        <v>132</v>
      </c>
      <c r="B138" s="865"/>
      <c r="C138" s="878"/>
      <c r="D138" s="879"/>
      <c r="E138" s="880"/>
      <c r="F138" s="865"/>
      <c r="G138" s="865"/>
      <c r="H138" s="865"/>
      <c r="I138" s="881"/>
      <c r="J138" s="880"/>
      <c r="K138" s="865"/>
      <c r="L138" s="870"/>
    </row>
    <row r="139" spans="1:12" ht="12.75">
      <c r="A139" s="48" t="s">
        <v>40</v>
      </c>
      <c r="B139" s="49"/>
      <c r="C139" s="254"/>
      <c r="D139" s="254"/>
      <c r="E139" s="254"/>
      <c r="F139" s="254"/>
      <c r="G139" s="254"/>
      <c r="H139" s="254"/>
      <c r="I139" s="254"/>
      <c r="J139" s="254"/>
      <c r="K139" s="254"/>
      <c r="L139" s="55"/>
    </row>
    <row r="140" spans="1:12" ht="12.75">
      <c r="A140" s="261" t="s">
        <v>99</v>
      </c>
      <c r="B140" s="49"/>
      <c r="C140" s="254"/>
      <c r="D140" s="254">
        <v>0.14</v>
      </c>
      <c r="E140" s="254"/>
      <c r="F140" s="254"/>
      <c r="G140" s="254"/>
      <c r="H140" s="254"/>
      <c r="I140" s="254"/>
      <c r="J140" s="254"/>
      <c r="K140" s="254"/>
      <c r="L140" s="56">
        <v>0.14</v>
      </c>
    </row>
    <row r="141" spans="1:12" ht="12.75">
      <c r="A141" s="57" t="s">
        <v>35</v>
      </c>
      <c r="B141" s="58"/>
      <c r="C141" s="255"/>
      <c r="D141" s="255">
        <v>0.07</v>
      </c>
      <c r="E141" s="255"/>
      <c r="F141" s="255"/>
      <c r="G141" s="255"/>
      <c r="H141" s="255"/>
      <c r="I141" s="255"/>
      <c r="J141" s="255"/>
      <c r="K141" s="237"/>
      <c r="L141" s="67">
        <v>0.07</v>
      </c>
    </row>
    <row r="142" spans="1:12" ht="12.75">
      <c r="A142" s="55" t="s">
        <v>42</v>
      </c>
      <c r="B142" s="56">
        <v>1.2</v>
      </c>
      <c r="C142" s="215"/>
      <c r="D142" s="215">
        <v>21.98</v>
      </c>
      <c r="E142" s="215">
        <v>40.23</v>
      </c>
      <c r="F142" s="215"/>
      <c r="G142" s="215"/>
      <c r="H142" s="56">
        <v>0.81</v>
      </c>
      <c r="I142" s="56">
        <v>5</v>
      </c>
      <c r="J142" s="56">
        <v>23.88</v>
      </c>
      <c r="K142" s="89">
        <v>6.61</v>
      </c>
      <c r="L142" s="55">
        <v>99.7</v>
      </c>
    </row>
    <row r="143" spans="1:12" ht="12.75">
      <c r="A143" s="212" t="s">
        <v>43</v>
      </c>
      <c r="B143" s="49">
        <v>0.96</v>
      </c>
      <c r="C143" s="254"/>
      <c r="D143" s="254">
        <v>14.02</v>
      </c>
      <c r="E143" s="254">
        <v>28.8</v>
      </c>
      <c r="F143" s="254"/>
      <c r="G143" s="254"/>
      <c r="H143" s="49">
        <v>0.79</v>
      </c>
      <c r="I143" s="49">
        <v>4.99</v>
      </c>
      <c r="J143" s="49">
        <v>11.97</v>
      </c>
      <c r="K143" s="270">
        <v>4.21</v>
      </c>
      <c r="L143" s="55">
        <v>65.74</v>
      </c>
    </row>
    <row r="144" spans="1:12" ht="12.75">
      <c r="A144" s="261" t="s">
        <v>138</v>
      </c>
      <c r="B144" s="49">
        <v>0.24</v>
      </c>
      <c r="C144" s="254"/>
      <c r="D144" s="254">
        <v>7.95</v>
      </c>
      <c r="E144" s="254">
        <v>7.52</v>
      </c>
      <c r="F144" s="254"/>
      <c r="G144" s="254"/>
      <c r="H144" s="49">
        <v>0.01</v>
      </c>
      <c r="I144" s="49">
        <v>0.01</v>
      </c>
      <c r="J144" s="49">
        <v>11.17</v>
      </c>
      <c r="K144" s="270">
        <v>2.4</v>
      </c>
      <c r="L144" s="55">
        <v>29.31</v>
      </c>
    </row>
    <row r="145" spans="1:12" ht="12.75">
      <c r="A145" s="224" t="s">
        <v>135</v>
      </c>
      <c r="B145" s="254"/>
      <c r="C145" s="254"/>
      <c r="D145" s="254"/>
      <c r="E145" s="254"/>
      <c r="F145" s="254"/>
      <c r="G145" s="254"/>
      <c r="H145" s="254"/>
      <c r="I145" s="254"/>
      <c r="J145" s="1558"/>
      <c r="K145" s="900"/>
      <c r="L145" s="234"/>
    </row>
    <row r="146" spans="1:12" ht="12.75">
      <c r="A146" s="225" t="s">
        <v>136</v>
      </c>
      <c r="B146" s="254"/>
      <c r="C146" s="254"/>
      <c r="D146" s="254"/>
      <c r="E146" s="254"/>
      <c r="F146" s="254"/>
      <c r="G146" s="254"/>
      <c r="H146" s="254"/>
      <c r="I146" s="254"/>
      <c r="J146" s="1558"/>
      <c r="K146" s="900"/>
      <c r="L146" s="234"/>
    </row>
    <row r="147" spans="1:12" ht="12.75">
      <c r="A147" s="48" t="s">
        <v>44</v>
      </c>
      <c r="B147" s="254"/>
      <c r="C147" s="254"/>
      <c r="D147" s="254"/>
      <c r="E147" s="254">
        <v>0.26</v>
      </c>
      <c r="F147" s="254"/>
      <c r="G147" s="254"/>
      <c r="H147" s="254"/>
      <c r="I147" s="254"/>
      <c r="J147" s="254">
        <v>0.74</v>
      </c>
      <c r="K147" s="900"/>
      <c r="L147" s="234">
        <v>1</v>
      </c>
    </row>
    <row r="148" spans="1:12" ht="12.75">
      <c r="A148" s="48" t="s">
        <v>45</v>
      </c>
      <c r="B148" s="254"/>
      <c r="C148" s="254"/>
      <c r="D148" s="254"/>
      <c r="E148" s="254"/>
      <c r="F148" s="254"/>
      <c r="G148" s="254"/>
      <c r="H148" s="254"/>
      <c r="I148" s="254"/>
      <c r="J148" s="254"/>
      <c r="K148" s="900"/>
      <c r="L148" s="234"/>
    </row>
    <row r="149" spans="1:12" ht="13.5" thickBot="1">
      <c r="A149" s="57" t="s">
        <v>35</v>
      </c>
      <c r="B149" s="255"/>
      <c r="C149" s="255"/>
      <c r="D149" s="255"/>
      <c r="E149" s="255">
        <v>3.65</v>
      </c>
      <c r="F149" s="255"/>
      <c r="G149" s="255"/>
      <c r="H149" s="255"/>
      <c r="I149" s="255"/>
      <c r="J149" s="255"/>
      <c r="K149" s="1559"/>
      <c r="L149" s="257">
        <v>3.65</v>
      </c>
    </row>
    <row r="150" spans="1:12" ht="27" thickBot="1">
      <c r="A150" s="1348" t="s">
        <v>445</v>
      </c>
      <c r="B150" s="282"/>
      <c r="C150" s="1240" t="s">
        <v>426</v>
      </c>
      <c r="D150" s="1346">
        <v>14</v>
      </c>
      <c r="E150" s="1579"/>
      <c r="F150" s="1579"/>
      <c r="G150" s="1240" t="s">
        <v>427</v>
      </c>
      <c r="H150" s="1351">
        <v>0.815</v>
      </c>
      <c r="I150" s="1344"/>
      <c r="J150" s="1561" t="s">
        <v>428</v>
      </c>
      <c r="K150" s="1352">
        <v>5.75</v>
      </c>
      <c r="L150" s="940" t="s">
        <v>94</v>
      </c>
    </row>
    <row r="151" spans="1:12" ht="12.75">
      <c r="A151" s="1580"/>
      <c r="B151" s="1580"/>
      <c r="C151" s="1580"/>
      <c r="D151" s="1580"/>
      <c r="E151" s="1580"/>
      <c r="F151" s="1580"/>
      <c r="G151" s="1580"/>
      <c r="H151" s="1580"/>
      <c r="I151" s="1580"/>
      <c r="J151" s="1580"/>
      <c r="K151" s="1580"/>
      <c r="L151" s="1580"/>
    </row>
    <row r="152" spans="1:12" ht="27.75">
      <c r="A152" s="1547"/>
      <c r="B152" s="941" t="s">
        <v>293</v>
      </c>
      <c r="C152" s="91"/>
      <c r="D152" s="91"/>
      <c r="E152" s="91"/>
      <c r="F152" s="91"/>
      <c r="G152" s="91"/>
      <c r="H152" s="91"/>
      <c r="I152" s="91"/>
      <c r="J152" s="91"/>
      <c r="K152" s="91"/>
      <c r="L152" s="1133"/>
    </row>
    <row r="153" spans="1:12" ht="12.75">
      <c r="A153" s="1136" t="s">
        <v>10</v>
      </c>
      <c r="B153" s="142">
        <v>0.36</v>
      </c>
      <c r="C153" s="142"/>
      <c r="D153" s="142">
        <v>0.39</v>
      </c>
      <c r="E153" s="142">
        <v>0.48</v>
      </c>
      <c r="F153" s="142">
        <v>0.345</v>
      </c>
      <c r="G153" s="142">
        <v>1</v>
      </c>
      <c r="H153" s="142">
        <v>1</v>
      </c>
      <c r="I153" s="142">
        <v>0.35</v>
      </c>
      <c r="J153" s="91"/>
      <c r="K153" s="91"/>
      <c r="L153" s="1133"/>
    </row>
    <row r="154" spans="1:12" ht="12.75">
      <c r="A154" s="1136" t="s">
        <v>66</v>
      </c>
      <c r="B154" s="712">
        <v>0.355</v>
      </c>
      <c r="C154" s="142"/>
      <c r="D154" s="142">
        <v>0.38</v>
      </c>
      <c r="E154" s="142">
        <v>0.47</v>
      </c>
      <c r="F154" s="142">
        <v>0.3</v>
      </c>
      <c r="G154" s="142">
        <v>1</v>
      </c>
      <c r="H154" s="142">
        <v>1</v>
      </c>
      <c r="I154" s="142">
        <v>0.295</v>
      </c>
      <c r="J154" s="91"/>
      <c r="K154" s="91"/>
      <c r="L154" s="1133"/>
    </row>
    <row r="155" spans="1:12" ht="12.75">
      <c r="A155" s="1136" t="s">
        <v>67</v>
      </c>
      <c r="B155" s="142">
        <v>0</v>
      </c>
      <c r="C155" s="142"/>
      <c r="D155" s="142">
        <v>0.13</v>
      </c>
      <c r="E155" s="142">
        <v>0.13</v>
      </c>
      <c r="F155" s="142">
        <v>0.5</v>
      </c>
      <c r="G155" s="142">
        <v>1</v>
      </c>
      <c r="H155" s="142">
        <v>1</v>
      </c>
      <c r="I155" s="142">
        <v>0.555</v>
      </c>
      <c r="J155" s="142">
        <v>1</v>
      </c>
      <c r="K155" s="142">
        <v>1</v>
      </c>
      <c r="L155" s="1133"/>
    </row>
    <row r="156" spans="1:12" ht="13.5" thickBot="1">
      <c r="A156" s="1137" t="s">
        <v>12</v>
      </c>
      <c r="B156" s="144">
        <v>0.86</v>
      </c>
      <c r="C156" s="144"/>
      <c r="D156" s="144">
        <v>0.95</v>
      </c>
      <c r="E156" s="144">
        <v>0.95</v>
      </c>
      <c r="F156" s="144"/>
      <c r="G156" s="144"/>
      <c r="H156" s="144">
        <v>1</v>
      </c>
      <c r="I156" s="144">
        <v>0.9</v>
      </c>
      <c r="J156" s="144">
        <v>1</v>
      </c>
      <c r="K156" s="144">
        <v>1</v>
      </c>
      <c r="L156" s="1548"/>
    </row>
    <row r="157" spans="1:12" ht="18.75" thickBot="1">
      <c r="A157" s="1432" t="s">
        <v>446</v>
      </c>
      <c r="B157" s="1432"/>
      <c r="C157" s="1432"/>
      <c r="D157" s="1432"/>
      <c r="E157" s="1432"/>
      <c r="F157" s="1432"/>
      <c r="G157" s="1432"/>
      <c r="H157" s="1432"/>
      <c r="I157" s="1432"/>
      <c r="J157" s="1432"/>
      <c r="K157" s="1432"/>
      <c r="L157" s="1433"/>
    </row>
    <row r="158" spans="1:12" ht="16.5" thickBot="1">
      <c r="A158" s="1415" t="s">
        <v>64</v>
      </c>
      <c r="B158" s="1416"/>
      <c r="C158" s="1416"/>
      <c r="D158" s="1416"/>
      <c r="E158" s="1416"/>
      <c r="F158" s="1416"/>
      <c r="G158" s="1416"/>
      <c r="H158" s="1416"/>
      <c r="I158" s="1416"/>
      <c r="J158" s="1416"/>
      <c r="K158" s="1416"/>
      <c r="L158" s="1417"/>
    </row>
    <row r="159" spans="1:12" ht="12.75">
      <c r="A159" s="40" t="s">
        <v>0</v>
      </c>
      <c r="B159" s="41" t="s">
        <v>47</v>
      </c>
      <c r="C159" s="41" t="s">
        <v>48</v>
      </c>
      <c r="D159" s="1357" t="s">
        <v>230</v>
      </c>
      <c r="E159" s="41" t="s">
        <v>49</v>
      </c>
      <c r="F159" s="41" t="s">
        <v>50</v>
      </c>
      <c r="G159" s="41" t="s">
        <v>51</v>
      </c>
      <c r="H159" s="1357" t="s">
        <v>237</v>
      </c>
      <c r="I159" s="1357" t="s">
        <v>238</v>
      </c>
      <c r="J159" s="1357" t="s">
        <v>54</v>
      </c>
      <c r="K159" s="41" t="s">
        <v>55</v>
      </c>
      <c r="L159" s="43" t="s">
        <v>56</v>
      </c>
    </row>
    <row r="160" spans="1:12" ht="13.5" thickBot="1">
      <c r="A160" s="44" t="s">
        <v>1</v>
      </c>
      <c r="B160" s="45" t="s">
        <v>46</v>
      </c>
      <c r="C160" s="45" t="s">
        <v>58</v>
      </c>
      <c r="D160" s="1358" t="s">
        <v>59</v>
      </c>
      <c r="E160" s="45"/>
      <c r="F160" s="45"/>
      <c r="G160" s="45"/>
      <c r="H160" s="1358" t="s">
        <v>241</v>
      </c>
      <c r="I160" s="1358" t="s">
        <v>239</v>
      </c>
      <c r="J160" s="1358"/>
      <c r="K160" s="45"/>
      <c r="L160" s="47"/>
    </row>
    <row r="161" spans="1:12" ht="12.75">
      <c r="A161" s="48" t="s">
        <v>2</v>
      </c>
      <c r="B161" s="49">
        <v>8.18</v>
      </c>
      <c r="C161" s="49">
        <v>0.07</v>
      </c>
      <c r="D161" s="49"/>
      <c r="E161" s="49">
        <v>0.01</v>
      </c>
      <c r="F161" s="49"/>
      <c r="G161" s="49">
        <v>0.46</v>
      </c>
      <c r="H161" s="49">
        <v>0.43</v>
      </c>
      <c r="I161" s="49">
        <v>0.93</v>
      </c>
      <c r="J161" s="49"/>
      <c r="K161" s="49"/>
      <c r="L161" s="55">
        <v>10.08</v>
      </c>
    </row>
    <row r="162" spans="1:12" ht="12.75">
      <c r="A162" s="48" t="s">
        <v>5</v>
      </c>
      <c r="B162" s="49">
        <v>0.17</v>
      </c>
      <c r="C162" s="49">
        <v>20.47</v>
      </c>
      <c r="D162" s="49">
        <v>6.99</v>
      </c>
      <c r="E162" s="49">
        <v>2.96</v>
      </c>
      <c r="F162" s="49"/>
      <c r="G162" s="49"/>
      <c r="H162" s="49"/>
      <c r="I162" s="49">
        <v>0.06</v>
      </c>
      <c r="J162" s="49">
        <v>0.65</v>
      </c>
      <c r="K162" s="49"/>
      <c r="L162" s="55">
        <v>31.3</v>
      </c>
    </row>
    <row r="163" spans="1:12" ht="12.75">
      <c r="A163" s="48" t="s">
        <v>6</v>
      </c>
      <c r="B163" s="49">
        <v>0</v>
      </c>
      <c r="C163" s="49">
        <v>-1</v>
      </c>
      <c r="D163" s="49">
        <v>-7.84</v>
      </c>
      <c r="E163" s="49"/>
      <c r="F163" s="49"/>
      <c r="G163" s="49"/>
      <c r="H163" s="49"/>
      <c r="I163" s="49"/>
      <c r="J163" s="49">
        <v>-0.28</v>
      </c>
      <c r="K163" s="49"/>
      <c r="L163" s="55">
        <v>-9.12</v>
      </c>
    </row>
    <row r="164" spans="1:12" ht="12.75">
      <c r="A164" s="3" t="s">
        <v>3</v>
      </c>
      <c r="B164" s="49"/>
      <c r="C164" s="49"/>
      <c r="D164" s="1549">
        <v>-2.6</v>
      </c>
      <c r="E164" s="49"/>
      <c r="F164" s="49"/>
      <c r="G164" s="49"/>
      <c r="H164" s="49"/>
      <c r="I164" s="49"/>
      <c r="J164" s="49"/>
      <c r="K164" s="49"/>
      <c r="L164" s="5">
        <v>-2.6</v>
      </c>
    </row>
    <row r="165" spans="1:12" ht="12.75">
      <c r="A165" s="3" t="s">
        <v>105</v>
      </c>
      <c r="B165" s="49"/>
      <c r="C165" s="49"/>
      <c r="D165" s="1549">
        <v>-0.85</v>
      </c>
      <c r="E165" s="49"/>
      <c r="F165" s="49"/>
      <c r="G165" s="49"/>
      <c r="H165" s="49"/>
      <c r="I165" s="49"/>
      <c r="J165" s="49"/>
      <c r="K165" s="49"/>
      <c r="L165" s="5">
        <v>-0.85</v>
      </c>
    </row>
    <row r="166" spans="1:12" ht="12.75">
      <c r="A166" s="48" t="s">
        <v>7</v>
      </c>
      <c r="B166" s="49">
        <v>0.08</v>
      </c>
      <c r="C166" s="49">
        <v>0.13</v>
      </c>
      <c r="D166" s="49">
        <v>0.42</v>
      </c>
      <c r="E166" s="49">
        <v>0</v>
      </c>
      <c r="F166" s="49"/>
      <c r="G166" s="49"/>
      <c r="H166" s="49"/>
      <c r="I166" s="49"/>
      <c r="J166" s="49"/>
      <c r="K166" s="49"/>
      <c r="L166" s="55">
        <v>0.63</v>
      </c>
    </row>
    <row r="167" spans="1:12" ht="13.5" thickBot="1">
      <c r="A167" s="518" t="s">
        <v>236</v>
      </c>
      <c r="B167" s="56"/>
      <c r="C167" s="56"/>
      <c r="D167" s="56">
        <v>-0.66</v>
      </c>
      <c r="E167" s="56">
        <v>-0.25</v>
      </c>
      <c r="F167" s="49"/>
      <c r="G167" s="49"/>
      <c r="H167" s="49"/>
      <c r="I167" s="49"/>
      <c r="J167" s="49"/>
      <c r="K167" s="49"/>
      <c r="L167" s="59">
        <v>-0.91</v>
      </c>
    </row>
    <row r="168" spans="1:12" ht="15.75" thickBot="1">
      <c r="A168" s="50" t="s">
        <v>8</v>
      </c>
      <c r="B168" s="51">
        <v>8.43</v>
      </c>
      <c r="C168" s="51">
        <v>19.67</v>
      </c>
      <c r="D168" s="1565">
        <f>-3.88+D167</f>
        <v>-4.54</v>
      </c>
      <c r="E168" s="51">
        <f>2.97+E167</f>
        <v>2.72</v>
      </c>
      <c r="F168" s="51"/>
      <c r="G168" s="51">
        <v>0.46</v>
      </c>
      <c r="H168" s="51">
        <v>0.43</v>
      </c>
      <c r="I168" s="51">
        <v>0.99</v>
      </c>
      <c r="J168" s="51">
        <v>0.38</v>
      </c>
      <c r="K168" s="51"/>
      <c r="L168" s="52">
        <v>29.44</v>
      </c>
    </row>
    <row r="169" spans="1:12" ht="15">
      <c r="A169" s="84"/>
      <c r="B169" s="1550" t="s">
        <v>345</v>
      </c>
      <c r="C169" s="85"/>
      <c r="D169" s="85"/>
      <c r="E169" s="85"/>
      <c r="F169" s="902">
        <f>F168/($F168+$G168+$H168)</f>
        <v>0</v>
      </c>
      <c r="G169" s="902">
        <f>G168/($F168+$G168+$H168)</f>
        <v>0.5168539325842697</v>
      </c>
      <c r="H169" s="902">
        <f>H168/($F168+$G168+$H168)</f>
        <v>0.4831460674157303</v>
      </c>
      <c r="I169" s="85"/>
      <c r="J169" s="85"/>
      <c r="K169" s="85"/>
      <c r="L169" s="85"/>
    </row>
    <row r="170" spans="1:12" ht="12.75">
      <c r="A170" s="48" t="s">
        <v>9</v>
      </c>
      <c r="B170" s="49"/>
      <c r="C170" s="49">
        <v>1.55</v>
      </c>
      <c r="D170" s="49">
        <v>-1.55</v>
      </c>
      <c r="E170" s="49"/>
      <c r="F170" s="49"/>
      <c r="G170" s="49"/>
      <c r="H170" s="49"/>
      <c r="I170" s="49"/>
      <c r="J170" s="49"/>
      <c r="K170" s="49"/>
      <c r="L170" s="55">
        <v>0</v>
      </c>
    </row>
    <row r="171" spans="1:12" ht="12.75">
      <c r="A171" s="48" t="s">
        <v>13</v>
      </c>
      <c r="B171" s="49">
        <v>0.04</v>
      </c>
      <c r="C171" s="49">
        <v>-0.04</v>
      </c>
      <c r="D171" s="49">
        <v>0.33</v>
      </c>
      <c r="E171" s="49">
        <v>-0.03</v>
      </c>
      <c r="F171" s="49"/>
      <c r="G171" s="49"/>
      <c r="H171" s="49"/>
      <c r="I171" s="49"/>
      <c r="J171" s="49"/>
      <c r="K171" s="49"/>
      <c r="L171" s="55">
        <v>0.29</v>
      </c>
    </row>
    <row r="172" spans="1:12" ht="14.25">
      <c r="A172" s="48" t="s">
        <v>10</v>
      </c>
      <c r="B172" s="258">
        <v>-6.48</v>
      </c>
      <c r="C172" s="258"/>
      <c r="D172" s="258">
        <v>-1.61</v>
      </c>
      <c r="E172" s="258">
        <v>-1.65</v>
      </c>
      <c r="F172" s="258"/>
      <c r="G172" s="258">
        <v>-0.46</v>
      </c>
      <c r="H172" s="258">
        <v>-0.22</v>
      </c>
      <c r="I172" s="258">
        <v>-0.05</v>
      </c>
      <c r="J172" s="49">
        <v>4.45</v>
      </c>
      <c r="K172" s="87"/>
      <c r="L172" s="55">
        <v>-6.02</v>
      </c>
    </row>
    <row r="173" spans="1:12" ht="12.75">
      <c r="A173" s="48" t="s">
        <v>11</v>
      </c>
      <c r="B173" s="60">
        <v>-1.78</v>
      </c>
      <c r="C173" s="4"/>
      <c r="D173" s="60">
        <v>-0.24</v>
      </c>
      <c r="E173" s="60">
        <v>-0.16</v>
      </c>
      <c r="F173" s="60"/>
      <c r="G173" s="60"/>
      <c r="H173" s="60"/>
      <c r="I173" s="60">
        <v>-0.01</v>
      </c>
      <c r="J173" s="49">
        <v>0.8</v>
      </c>
      <c r="K173" s="49">
        <v>0.05</v>
      </c>
      <c r="L173" s="55">
        <v>-1.34</v>
      </c>
    </row>
    <row r="174" spans="1:12" ht="12.75">
      <c r="A174" s="48" t="s">
        <v>12</v>
      </c>
      <c r="B174" s="60"/>
      <c r="C174" s="60"/>
      <c r="D174" s="60"/>
      <c r="E174" s="60"/>
      <c r="F174" s="60"/>
      <c r="G174" s="60"/>
      <c r="H174" s="60"/>
      <c r="I174" s="60"/>
      <c r="J174" s="49"/>
      <c r="K174" s="49"/>
      <c r="L174" s="55"/>
    </row>
    <row r="175" spans="1:12" ht="12.75">
      <c r="A175" s="247" t="s">
        <v>229</v>
      </c>
      <c r="B175" s="254"/>
      <c r="C175" s="254"/>
      <c r="D175" s="254"/>
      <c r="E175" s="254"/>
      <c r="F175" s="254"/>
      <c r="G175" s="254"/>
      <c r="H175" s="254"/>
      <c r="I175" s="254"/>
      <c r="J175" s="49"/>
      <c r="K175" s="49"/>
      <c r="L175" s="55"/>
    </row>
    <row r="176" spans="1:12" ht="12.75">
      <c r="A176" s="212" t="s">
        <v>14</v>
      </c>
      <c r="B176" s="49"/>
      <c r="C176" s="49"/>
      <c r="D176" s="49"/>
      <c r="E176" s="49"/>
      <c r="F176" s="49"/>
      <c r="G176" s="49"/>
      <c r="H176" s="49"/>
      <c r="I176" s="49"/>
      <c r="J176" s="49"/>
      <c r="K176" s="49"/>
      <c r="L176" s="55"/>
    </row>
    <row r="177" spans="1:12" ht="12.75">
      <c r="A177" s="212" t="s">
        <v>232</v>
      </c>
      <c r="B177" s="49"/>
      <c r="C177" s="49">
        <v>-21.19</v>
      </c>
      <c r="D177" s="49">
        <v>21.48</v>
      </c>
      <c r="E177" s="49"/>
      <c r="F177" s="49"/>
      <c r="G177" s="49"/>
      <c r="H177" s="49"/>
      <c r="I177" s="49"/>
      <c r="J177" s="49"/>
      <c r="K177" s="49"/>
      <c r="L177" s="55">
        <v>0.29</v>
      </c>
    </row>
    <row r="178" spans="1:12" ht="12.75">
      <c r="A178" s="212" t="s">
        <v>233</v>
      </c>
      <c r="B178" s="49"/>
      <c r="C178" s="49"/>
      <c r="D178" s="49"/>
      <c r="E178" s="49"/>
      <c r="F178" s="49"/>
      <c r="G178" s="49"/>
      <c r="H178" s="49"/>
      <c r="I178" s="49"/>
      <c r="J178" s="49"/>
      <c r="K178" s="49"/>
      <c r="L178" s="55"/>
    </row>
    <row r="179" spans="1:12" ht="12.75">
      <c r="A179" s="212" t="s">
        <v>231</v>
      </c>
      <c r="B179" s="49"/>
      <c r="C179" s="49"/>
      <c r="D179" s="49"/>
      <c r="E179" s="49"/>
      <c r="F179" s="49"/>
      <c r="G179" s="49"/>
      <c r="H179" s="49"/>
      <c r="I179" s="49"/>
      <c r="J179" s="49"/>
      <c r="K179" s="49"/>
      <c r="L179" s="55"/>
    </row>
    <row r="180" spans="1:12" ht="12.75">
      <c r="A180" s="48" t="s">
        <v>17</v>
      </c>
      <c r="B180" s="49"/>
      <c r="C180" s="49"/>
      <c r="D180" s="49"/>
      <c r="E180" s="49"/>
      <c r="F180" s="49"/>
      <c r="G180" s="49"/>
      <c r="H180" s="49"/>
      <c r="I180" s="49"/>
      <c r="J180" s="49"/>
      <c r="K180" s="49"/>
      <c r="L180" s="55"/>
    </row>
    <row r="181" spans="1:12" ht="12.75">
      <c r="A181" s="48" t="s">
        <v>18</v>
      </c>
      <c r="B181" s="49"/>
      <c r="C181" s="49"/>
      <c r="D181" s="49"/>
      <c r="E181" s="49"/>
      <c r="F181" s="49"/>
      <c r="G181" s="49"/>
      <c r="H181" s="49"/>
      <c r="I181" s="49">
        <v>0</v>
      </c>
      <c r="J181" s="49"/>
      <c r="K181" s="49"/>
      <c r="L181" s="55">
        <v>0</v>
      </c>
    </row>
    <row r="182" spans="1:12" ht="12.75">
      <c r="A182" s="48" t="s">
        <v>234</v>
      </c>
      <c r="B182" s="49">
        <v>-0.03</v>
      </c>
      <c r="C182" s="49"/>
      <c r="D182" s="49">
        <v>-1.06</v>
      </c>
      <c r="E182" s="49">
        <v>-0.03</v>
      </c>
      <c r="F182" s="49"/>
      <c r="G182" s="49"/>
      <c r="H182" s="49"/>
      <c r="I182" s="49"/>
      <c r="J182" s="49">
        <v>-0.65</v>
      </c>
      <c r="K182" s="49"/>
      <c r="L182" s="55">
        <v>-1.77</v>
      </c>
    </row>
    <row r="183" spans="1:12" ht="12.75">
      <c r="A183" s="54" t="s">
        <v>235</v>
      </c>
      <c r="B183" s="54">
        <v>-0.04</v>
      </c>
      <c r="C183" s="54"/>
      <c r="D183" s="54"/>
      <c r="E183" s="54">
        <v>-0.02</v>
      </c>
      <c r="F183" s="54"/>
      <c r="G183" s="54"/>
      <c r="H183" s="54"/>
      <c r="I183" s="54"/>
      <c r="J183" s="54">
        <v>-0.28</v>
      </c>
      <c r="K183" s="54"/>
      <c r="L183" s="55">
        <v>-0.3</v>
      </c>
    </row>
    <row r="184" spans="1:12" ht="15.75" thickBot="1">
      <c r="A184" s="3"/>
      <c r="B184" s="198"/>
      <c r="C184" s="198"/>
      <c r="D184" s="198"/>
      <c r="E184" s="198"/>
      <c r="F184" s="198"/>
      <c r="G184" s="198"/>
      <c r="H184" s="198"/>
      <c r="I184" s="198"/>
      <c r="J184" s="198"/>
      <c r="K184" s="198"/>
      <c r="L184" s="86"/>
    </row>
    <row r="185" spans="1:12" ht="15.75" thickBot="1">
      <c r="A185" s="50" t="s">
        <v>21</v>
      </c>
      <c r="B185" s="51">
        <v>0.17</v>
      </c>
      <c r="C185" s="51"/>
      <c r="D185" s="51">
        <v>13.46</v>
      </c>
      <c r="E185" s="51">
        <v>1.07</v>
      </c>
      <c r="F185" s="51"/>
      <c r="G185" s="51"/>
      <c r="H185" s="51">
        <v>0.2</v>
      </c>
      <c r="I185" s="51">
        <v>0.93</v>
      </c>
      <c r="J185" s="51">
        <v>4.71</v>
      </c>
      <c r="K185" s="51">
        <v>0.05</v>
      </c>
      <c r="L185" s="52">
        <v>20.59</v>
      </c>
    </row>
    <row r="186" spans="1:12" ht="12.75">
      <c r="A186" s="55" t="s">
        <v>22</v>
      </c>
      <c r="B186" s="56">
        <v>0.17</v>
      </c>
      <c r="C186" s="56"/>
      <c r="D186" s="56">
        <v>1.43</v>
      </c>
      <c r="E186" s="56">
        <v>0.41</v>
      </c>
      <c r="F186" s="56"/>
      <c r="G186" s="56"/>
      <c r="H186" s="56"/>
      <c r="I186" s="56">
        <v>0.24</v>
      </c>
      <c r="J186" s="56">
        <v>1.21</v>
      </c>
      <c r="K186" s="56"/>
      <c r="L186" s="55">
        <v>3.46</v>
      </c>
    </row>
    <row r="187" spans="1:12" ht="12.75">
      <c r="A187" s="48" t="s">
        <v>23</v>
      </c>
      <c r="B187" s="49"/>
      <c r="C187" s="49"/>
      <c r="D187" s="49">
        <v>0</v>
      </c>
      <c r="E187" s="49">
        <v>0.06</v>
      </c>
      <c r="F187" s="49"/>
      <c r="G187" s="49"/>
      <c r="H187" s="49"/>
      <c r="I187" s="49"/>
      <c r="J187" s="49">
        <v>0.12</v>
      </c>
      <c r="K187" s="49"/>
      <c r="L187" s="55">
        <v>0.19</v>
      </c>
    </row>
    <row r="188" spans="1:12" ht="12.75">
      <c r="A188" s="48" t="s">
        <v>24</v>
      </c>
      <c r="B188" s="1581"/>
      <c r="C188" s="49"/>
      <c r="D188" s="49">
        <v>0.12</v>
      </c>
      <c r="E188" s="49">
        <v>0.05</v>
      </c>
      <c r="F188" s="49"/>
      <c r="G188" s="49"/>
      <c r="H188" s="49"/>
      <c r="I188" s="49"/>
      <c r="J188" s="49">
        <v>0.06</v>
      </c>
      <c r="K188" s="49"/>
      <c r="L188" s="55">
        <v>0.22</v>
      </c>
    </row>
    <row r="189" spans="1:12" ht="12.75">
      <c r="A189" s="48" t="s">
        <v>25</v>
      </c>
      <c r="B189" s="49">
        <v>0.07</v>
      </c>
      <c r="C189" s="49"/>
      <c r="D189" s="49">
        <v>0.13</v>
      </c>
      <c r="E189" s="49">
        <v>0.06</v>
      </c>
      <c r="F189" s="49"/>
      <c r="G189" s="49"/>
      <c r="H189" s="49"/>
      <c r="I189" s="49"/>
      <c r="J189" s="49">
        <v>0.35</v>
      </c>
      <c r="K189" s="49"/>
      <c r="L189" s="55">
        <v>0.61</v>
      </c>
    </row>
    <row r="190" spans="1:12" ht="12.75">
      <c r="A190" s="48" t="s">
        <v>26</v>
      </c>
      <c r="B190" s="49">
        <v>0.08</v>
      </c>
      <c r="C190" s="49"/>
      <c r="D190" s="49">
        <v>0.54</v>
      </c>
      <c r="E190" s="49">
        <v>0.08</v>
      </c>
      <c r="F190" s="49"/>
      <c r="G190" s="49"/>
      <c r="H190" s="49"/>
      <c r="I190" s="49">
        <v>0</v>
      </c>
      <c r="J190" s="49">
        <v>0.15</v>
      </c>
      <c r="K190" s="49"/>
      <c r="L190" s="55">
        <v>0.86</v>
      </c>
    </row>
    <row r="191" spans="1:12" ht="12.75">
      <c r="A191" s="48" t="s">
        <v>27</v>
      </c>
      <c r="B191" s="49"/>
      <c r="C191" s="49"/>
      <c r="D191" s="49">
        <v>0.02</v>
      </c>
      <c r="E191" s="49"/>
      <c r="F191" s="49"/>
      <c r="G191" s="49"/>
      <c r="H191" s="49"/>
      <c r="I191" s="49"/>
      <c r="J191" s="49">
        <v>0.01</v>
      </c>
      <c r="K191" s="49"/>
      <c r="L191" s="55">
        <v>0.03</v>
      </c>
    </row>
    <row r="192" spans="1:12" ht="12.75">
      <c r="A192" s="48" t="s">
        <v>28</v>
      </c>
      <c r="B192" s="49"/>
      <c r="C192" s="49"/>
      <c r="D192" s="49">
        <v>0</v>
      </c>
      <c r="E192" s="49">
        <v>0</v>
      </c>
      <c r="F192" s="49"/>
      <c r="G192" s="49"/>
      <c r="H192" s="49"/>
      <c r="I192" s="49"/>
      <c r="J192" s="49">
        <v>0</v>
      </c>
      <c r="K192" s="49"/>
      <c r="L192" s="55">
        <v>0.01</v>
      </c>
    </row>
    <row r="193" spans="1:12" ht="12.75">
      <c r="A193" s="48" t="s">
        <v>29</v>
      </c>
      <c r="B193" s="49"/>
      <c r="C193" s="49"/>
      <c r="D193" s="49">
        <v>0.05</v>
      </c>
      <c r="E193" s="49"/>
      <c r="F193" s="49"/>
      <c r="G193" s="49"/>
      <c r="H193" s="49"/>
      <c r="I193" s="49"/>
      <c r="J193" s="49">
        <v>0.02</v>
      </c>
      <c r="K193" s="49"/>
      <c r="L193" s="55">
        <v>0.08</v>
      </c>
    </row>
    <row r="194" spans="1:12" ht="12.75">
      <c r="A194" s="48" t="s">
        <v>30</v>
      </c>
      <c r="B194" s="49"/>
      <c r="C194" s="49"/>
      <c r="D194" s="49">
        <v>0.11</v>
      </c>
      <c r="E194" s="49">
        <v>0.1</v>
      </c>
      <c r="F194" s="49"/>
      <c r="G194" s="49"/>
      <c r="H194" s="49"/>
      <c r="I194" s="49">
        <v>0.22</v>
      </c>
      <c r="J194" s="49">
        <v>0.19</v>
      </c>
      <c r="K194" s="49"/>
      <c r="L194" s="55">
        <v>0.62</v>
      </c>
    </row>
    <row r="195" spans="1:12" ht="12.75">
      <c r="A195" s="48" t="s">
        <v>31</v>
      </c>
      <c r="B195" s="49"/>
      <c r="C195" s="49"/>
      <c r="D195" s="49">
        <v>0.04</v>
      </c>
      <c r="E195" s="49">
        <v>0.03</v>
      </c>
      <c r="F195" s="49"/>
      <c r="G195" s="49"/>
      <c r="H195" s="49"/>
      <c r="I195" s="49"/>
      <c r="J195" s="49">
        <v>0.05</v>
      </c>
      <c r="K195" s="49"/>
      <c r="L195" s="55">
        <v>0.12</v>
      </c>
    </row>
    <row r="196" spans="1:12" ht="12.75">
      <c r="A196" s="48" t="s">
        <v>32</v>
      </c>
      <c r="B196" s="49"/>
      <c r="C196" s="49"/>
      <c r="D196" s="49">
        <v>0</v>
      </c>
      <c r="E196" s="49">
        <v>0</v>
      </c>
      <c r="F196" s="49"/>
      <c r="G196" s="49"/>
      <c r="H196" s="49"/>
      <c r="I196" s="49">
        <v>0.02</v>
      </c>
      <c r="J196" s="49">
        <v>0.02</v>
      </c>
      <c r="K196" s="49"/>
      <c r="L196" s="55">
        <v>0.04</v>
      </c>
    </row>
    <row r="197" spans="1:12" ht="12.75">
      <c r="A197" s="48" t="s">
        <v>33</v>
      </c>
      <c r="B197" s="49"/>
      <c r="C197" s="49"/>
      <c r="D197" s="49">
        <v>0.15</v>
      </c>
      <c r="E197" s="49"/>
      <c r="F197" s="49"/>
      <c r="G197" s="49"/>
      <c r="H197" s="49"/>
      <c r="I197" s="49"/>
      <c r="J197" s="49">
        <v>0</v>
      </c>
      <c r="K197" s="49"/>
      <c r="L197" s="55">
        <v>0.15</v>
      </c>
    </row>
    <row r="198" spans="1:12" ht="12.75">
      <c r="A198" s="48" t="s">
        <v>34</v>
      </c>
      <c r="B198" s="49"/>
      <c r="C198" s="49"/>
      <c r="D198" s="49">
        <v>0.02</v>
      </c>
      <c r="E198" s="49">
        <v>0.02</v>
      </c>
      <c r="F198" s="49"/>
      <c r="G198" s="49"/>
      <c r="H198" s="49"/>
      <c r="I198" s="49"/>
      <c r="J198" s="49">
        <v>0.05</v>
      </c>
      <c r="K198" s="49"/>
      <c r="L198" s="55">
        <v>0.09</v>
      </c>
    </row>
    <row r="199" spans="1:12" ht="12.75">
      <c r="A199" s="57" t="s">
        <v>35</v>
      </c>
      <c r="B199" s="58">
        <v>0.01</v>
      </c>
      <c r="C199" s="58"/>
      <c r="D199" s="58">
        <v>0.23</v>
      </c>
      <c r="E199" s="58">
        <v>0.01</v>
      </c>
      <c r="F199" s="58"/>
      <c r="G199" s="58"/>
      <c r="H199" s="58"/>
      <c r="I199" s="58"/>
      <c r="J199" s="58">
        <v>0.17</v>
      </c>
      <c r="K199" s="58"/>
      <c r="L199" s="67">
        <v>0.43</v>
      </c>
    </row>
    <row r="200" spans="1:12" ht="12.75">
      <c r="A200" s="55" t="s">
        <v>36</v>
      </c>
      <c r="B200" s="56"/>
      <c r="C200" s="215"/>
      <c r="D200" s="215">
        <v>8.24</v>
      </c>
      <c r="E200" s="214">
        <v>0.02</v>
      </c>
      <c r="F200" s="215"/>
      <c r="G200" s="215"/>
      <c r="H200" s="215"/>
      <c r="I200" s="215">
        <v>0.08</v>
      </c>
      <c r="J200" s="215">
        <v>0.02</v>
      </c>
      <c r="K200" s="215"/>
      <c r="L200" s="55">
        <v>8.36</v>
      </c>
    </row>
    <row r="201" spans="1:12" ht="12.75">
      <c r="A201" s="261" t="s">
        <v>98</v>
      </c>
      <c r="B201" s="49"/>
      <c r="C201" s="254"/>
      <c r="D201" s="237">
        <v>0.29</v>
      </c>
      <c r="E201" s="254"/>
      <c r="F201" s="254"/>
      <c r="G201" s="254"/>
      <c r="H201" s="254"/>
      <c r="I201" s="254"/>
      <c r="J201" s="254"/>
      <c r="K201" s="254"/>
      <c r="L201" s="59">
        <v>0.29</v>
      </c>
    </row>
    <row r="202" spans="1:12" ht="13.5" thickBot="1">
      <c r="A202" s="261" t="s">
        <v>283</v>
      </c>
      <c r="B202" s="49"/>
      <c r="C202" s="254"/>
      <c r="D202" s="237">
        <v>7.04</v>
      </c>
      <c r="E202" s="254">
        <v>0.01</v>
      </c>
      <c r="F202" s="254"/>
      <c r="G202" s="254"/>
      <c r="H202" s="254"/>
      <c r="I202" s="254">
        <v>0.08</v>
      </c>
      <c r="J202" s="254">
        <v>0.004</v>
      </c>
      <c r="K202" s="254"/>
      <c r="L202" s="59">
        <v>7.13</v>
      </c>
    </row>
    <row r="203" spans="1:12" ht="15" thickBot="1">
      <c r="A203" s="853"/>
      <c r="B203" s="854"/>
      <c r="C203" s="855" t="s">
        <v>258</v>
      </c>
      <c r="D203" s="856" t="s">
        <v>260</v>
      </c>
      <c r="E203" s="860" t="s">
        <v>120</v>
      </c>
      <c r="F203" s="1551"/>
      <c r="G203" s="1552"/>
      <c r="H203" s="1553"/>
      <c r="I203" s="859" t="s">
        <v>282</v>
      </c>
      <c r="J203" s="860" t="s">
        <v>257</v>
      </c>
      <c r="K203" s="861"/>
      <c r="L203" s="1554"/>
    </row>
    <row r="204" spans="1:12" ht="14.25">
      <c r="A204" s="853" t="s">
        <v>284</v>
      </c>
      <c r="B204" s="854"/>
      <c r="C204" s="1555"/>
      <c r="D204" s="1556"/>
      <c r="E204" s="862"/>
      <c r="F204" s="1551"/>
      <c r="G204" s="1552"/>
      <c r="H204" s="1553"/>
      <c r="I204" s="1557"/>
      <c r="J204" s="862"/>
      <c r="K204" s="861"/>
      <c r="L204" s="863"/>
    </row>
    <row r="205" spans="1:12" ht="12.75">
      <c r="A205" s="864" t="s">
        <v>127</v>
      </c>
      <c r="B205" s="865"/>
      <c r="C205" s="866"/>
      <c r="D205" s="867"/>
      <c r="E205" s="868"/>
      <c r="F205" s="865"/>
      <c r="G205" s="865"/>
      <c r="H205" s="865"/>
      <c r="I205" s="869"/>
      <c r="J205" s="868"/>
      <c r="K205" s="865"/>
      <c r="L205" s="870"/>
    </row>
    <row r="206" spans="1:12" ht="12.75">
      <c r="A206" s="871" t="s">
        <v>128</v>
      </c>
      <c r="B206" s="872"/>
      <c r="C206" s="873"/>
      <c r="D206" s="874"/>
      <c r="E206" s="875"/>
      <c r="F206" s="872"/>
      <c r="G206" s="872"/>
      <c r="H206" s="872"/>
      <c r="I206" s="876"/>
      <c r="J206" s="875"/>
      <c r="K206" s="872"/>
      <c r="L206" s="877"/>
    </row>
    <row r="207" spans="1:12" ht="12.75">
      <c r="A207" s="871" t="s">
        <v>285</v>
      </c>
      <c r="B207" s="872"/>
      <c r="C207" s="873"/>
      <c r="D207" s="874"/>
      <c r="E207" s="875"/>
      <c r="F207" s="872"/>
      <c r="G207" s="872"/>
      <c r="H207" s="872"/>
      <c r="I207" s="876"/>
      <c r="J207" s="875"/>
      <c r="K207" s="872"/>
      <c r="L207" s="877"/>
    </row>
    <row r="208" spans="1:12" ht="12.75">
      <c r="A208" s="871" t="s">
        <v>134</v>
      </c>
      <c r="B208" s="872"/>
      <c r="C208" s="873"/>
      <c r="D208" s="874"/>
      <c r="E208" s="875"/>
      <c r="F208" s="872"/>
      <c r="G208" s="872"/>
      <c r="H208" s="872"/>
      <c r="I208" s="876"/>
      <c r="J208" s="875"/>
      <c r="K208" s="872"/>
      <c r="L208" s="877"/>
    </row>
    <row r="209" spans="1:12" ht="12.75">
      <c r="A209" s="871" t="s">
        <v>131</v>
      </c>
      <c r="B209" s="872"/>
      <c r="C209" s="873"/>
      <c r="D209" s="874"/>
      <c r="E209" s="875"/>
      <c r="F209" s="872"/>
      <c r="G209" s="872"/>
      <c r="H209" s="872"/>
      <c r="I209" s="876"/>
      <c r="J209" s="875"/>
      <c r="K209" s="872"/>
      <c r="L209" s="877"/>
    </row>
    <row r="210" spans="1:12" ht="12.75">
      <c r="A210" s="864" t="s">
        <v>132</v>
      </c>
      <c r="B210" s="865"/>
      <c r="C210" s="866"/>
      <c r="D210" s="867"/>
      <c r="E210" s="868"/>
      <c r="F210" s="865"/>
      <c r="G210" s="865"/>
      <c r="H210" s="865"/>
      <c r="I210" s="869"/>
      <c r="J210" s="868"/>
      <c r="K210" s="865"/>
      <c r="L210" s="870"/>
    </row>
    <row r="211" spans="1:12" ht="12.75">
      <c r="A211" s="48" t="s">
        <v>39</v>
      </c>
      <c r="B211" s="49"/>
      <c r="C211" s="617">
        <v>0.03</v>
      </c>
      <c r="D211" s="231"/>
      <c r="E211" s="618"/>
      <c r="F211" s="254"/>
      <c r="G211" s="254"/>
      <c r="H211" s="254"/>
      <c r="I211" s="619">
        <f>I212+I213</f>
        <v>0</v>
      </c>
      <c r="J211" s="618">
        <v>0.01</v>
      </c>
      <c r="K211" s="254"/>
      <c r="L211" s="55">
        <v>0.04</v>
      </c>
    </row>
    <row r="212" spans="1:12" ht="12.75">
      <c r="A212" s="864" t="s">
        <v>127</v>
      </c>
      <c r="B212" s="865"/>
      <c r="C212" s="866"/>
      <c r="D212" s="867"/>
      <c r="E212" s="868"/>
      <c r="F212" s="865"/>
      <c r="G212" s="865"/>
      <c r="H212" s="865"/>
      <c r="I212" s="869"/>
      <c r="J212" s="868"/>
      <c r="K212" s="865"/>
      <c r="L212" s="870"/>
    </row>
    <row r="213" spans="1:12" ht="13.5" thickBot="1">
      <c r="A213" s="864" t="s">
        <v>132</v>
      </c>
      <c r="B213" s="865"/>
      <c r="C213" s="878"/>
      <c r="D213" s="879"/>
      <c r="E213" s="880"/>
      <c r="F213" s="865"/>
      <c r="G213" s="865"/>
      <c r="H213" s="865"/>
      <c r="I213" s="881"/>
      <c r="J213" s="880"/>
      <c r="K213" s="865"/>
      <c r="L213" s="870"/>
    </row>
    <row r="214" spans="1:12" ht="12.75">
      <c r="A214" s="48" t="s">
        <v>40</v>
      </c>
      <c r="B214" s="49"/>
      <c r="C214" s="254"/>
      <c r="D214" s="254"/>
      <c r="E214" s="254">
        <v>0</v>
      </c>
      <c r="F214" s="254"/>
      <c r="G214" s="254"/>
      <c r="H214" s="254"/>
      <c r="I214" s="254"/>
      <c r="J214" s="254"/>
      <c r="K214" s="254"/>
      <c r="L214" s="55">
        <v>0</v>
      </c>
    </row>
    <row r="215" spans="1:12" ht="12.75">
      <c r="A215" s="261" t="s">
        <v>99</v>
      </c>
      <c r="B215" s="49"/>
      <c r="C215" s="254"/>
      <c r="D215" s="254">
        <v>0.88</v>
      </c>
      <c r="E215" s="254"/>
      <c r="F215" s="254"/>
      <c r="G215" s="254"/>
      <c r="H215" s="254"/>
      <c r="I215" s="254"/>
      <c r="J215" s="254"/>
      <c r="K215" s="254"/>
      <c r="L215" s="56">
        <v>0.88</v>
      </c>
    </row>
    <row r="216" spans="1:12" ht="12.75">
      <c r="A216" s="57" t="s">
        <v>35</v>
      </c>
      <c r="B216" s="58"/>
      <c r="C216" s="255"/>
      <c r="D216" s="255"/>
      <c r="E216" s="255"/>
      <c r="F216" s="255"/>
      <c r="G216" s="255"/>
      <c r="H216" s="255"/>
      <c r="I216" s="255"/>
      <c r="J216" s="255">
        <v>0.01</v>
      </c>
      <c r="K216" s="237"/>
      <c r="L216" s="67">
        <v>0.01</v>
      </c>
    </row>
    <row r="217" spans="1:12" ht="12.75">
      <c r="A217" s="55" t="s">
        <v>42</v>
      </c>
      <c r="B217" s="56">
        <v>0</v>
      </c>
      <c r="C217" s="215"/>
      <c r="D217" s="215">
        <v>3.13</v>
      </c>
      <c r="E217" s="215">
        <v>0.4</v>
      </c>
      <c r="F217" s="215"/>
      <c r="G217" s="215"/>
      <c r="H217" s="56">
        <v>0.2</v>
      </c>
      <c r="I217" s="56">
        <v>0.61</v>
      </c>
      <c r="J217" s="56">
        <v>3.48</v>
      </c>
      <c r="K217" s="89">
        <v>0.05</v>
      </c>
      <c r="L217" s="55">
        <v>7.87</v>
      </c>
    </row>
    <row r="218" spans="1:12" ht="12.75">
      <c r="A218" s="212" t="s">
        <v>43</v>
      </c>
      <c r="B218" s="49"/>
      <c r="C218" s="254"/>
      <c r="D218" s="254">
        <v>2.2</v>
      </c>
      <c r="E218" s="254">
        <v>0.26</v>
      </c>
      <c r="F218" s="254"/>
      <c r="G218" s="254"/>
      <c r="H218" s="49">
        <v>0.19</v>
      </c>
      <c r="I218" s="49">
        <v>0.59</v>
      </c>
      <c r="J218" s="49">
        <v>1.56</v>
      </c>
      <c r="K218" s="270">
        <v>0.05</v>
      </c>
      <c r="L218" s="55">
        <v>4.85</v>
      </c>
    </row>
    <row r="219" spans="1:12" ht="12.75">
      <c r="A219" s="261" t="s">
        <v>138</v>
      </c>
      <c r="B219" s="49"/>
      <c r="C219" s="254"/>
      <c r="D219" s="254">
        <v>0.29</v>
      </c>
      <c r="E219" s="254">
        <v>0.14</v>
      </c>
      <c r="F219" s="254"/>
      <c r="G219" s="254"/>
      <c r="H219" s="49">
        <v>0</v>
      </c>
      <c r="I219" s="49">
        <v>0</v>
      </c>
      <c r="J219" s="49">
        <v>1.7</v>
      </c>
      <c r="K219" s="270"/>
      <c r="L219" s="55">
        <v>2.14</v>
      </c>
    </row>
    <row r="220" spans="1:12" ht="12.75">
      <c r="A220" s="224" t="s">
        <v>135</v>
      </c>
      <c r="B220" s="254"/>
      <c r="C220" s="254"/>
      <c r="D220" s="254"/>
      <c r="E220" s="254"/>
      <c r="F220" s="254"/>
      <c r="G220" s="254"/>
      <c r="H220" s="254"/>
      <c r="I220" s="254"/>
      <c r="J220" s="1558"/>
      <c r="K220" s="900"/>
      <c r="L220" s="234"/>
    </row>
    <row r="221" spans="1:12" ht="12.75">
      <c r="A221" s="225" t="s">
        <v>136</v>
      </c>
      <c r="B221" s="254"/>
      <c r="C221" s="254"/>
      <c r="D221" s="254"/>
      <c r="E221" s="254"/>
      <c r="F221" s="254"/>
      <c r="G221" s="254"/>
      <c r="H221" s="254"/>
      <c r="I221" s="254"/>
      <c r="J221" s="1558"/>
      <c r="K221" s="900"/>
      <c r="L221" s="234"/>
    </row>
    <row r="222" spans="1:12" ht="12.75">
      <c r="A222" s="48" t="s">
        <v>44</v>
      </c>
      <c r="B222" s="254"/>
      <c r="C222" s="254"/>
      <c r="D222" s="254">
        <v>0.63</v>
      </c>
      <c r="E222" s="254"/>
      <c r="F222" s="254"/>
      <c r="G222" s="254"/>
      <c r="H222" s="254">
        <v>0.01</v>
      </c>
      <c r="I222" s="254">
        <v>0.01</v>
      </c>
      <c r="J222" s="254">
        <v>0.22</v>
      </c>
      <c r="K222" s="900"/>
      <c r="L222" s="234">
        <v>0.87</v>
      </c>
    </row>
    <row r="223" spans="1:12" ht="12.75">
      <c r="A223" s="48" t="s">
        <v>45</v>
      </c>
      <c r="B223" s="254"/>
      <c r="C223" s="254"/>
      <c r="D223" s="254"/>
      <c r="E223" s="254"/>
      <c r="F223" s="254"/>
      <c r="G223" s="254"/>
      <c r="H223" s="254">
        <v>0</v>
      </c>
      <c r="I223" s="254"/>
      <c r="J223" s="254"/>
      <c r="K223" s="900"/>
      <c r="L223" s="234">
        <v>0</v>
      </c>
    </row>
    <row r="224" spans="1:12" ht="13.5" thickBot="1">
      <c r="A224" s="57" t="s">
        <v>35</v>
      </c>
      <c r="B224" s="255"/>
      <c r="C224" s="255"/>
      <c r="D224" s="255"/>
      <c r="E224" s="255"/>
      <c r="F224" s="255"/>
      <c r="G224" s="255"/>
      <c r="H224" s="255"/>
      <c r="I224" s="255"/>
      <c r="J224" s="255"/>
      <c r="K224" s="1559"/>
      <c r="L224" s="257"/>
    </row>
    <row r="225" spans="1:12" ht="27" thickBot="1">
      <c r="A225" s="1348" t="s">
        <v>447</v>
      </c>
      <c r="B225" s="252"/>
      <c r="C225" s="1560" t="s">
        <v>426</v>
      </c>
      <c r="D225" s="1346">
        <v>15</v>
      </c>
      <c r="E225" s="1343"/>
      <c r="F225" s="1343"/>
      <c r="G225" s="1560" t="s">
        <v>427</v>
      </c>
      <c r="H225" s="1351">
        <v>1.135</v>
      </c>
      <c r="I225" s="1344"/>
      <c r="J225" s="1561" t="s">
        <v>428</v>
      </c>
      <c r="K225" s="1352">
        <v>1.1</v>
      </c>
      <c r="L225" s="580" t="s">
        <v>94</v>
      </c>
    </row>
    <row r="227" spans="1:12" ht="27.75">
      <c r="A227" s="1547"/>
      <c r="B227" s="941" t="s">
        <v>293</v>
      </c>
      <c r="C227" s="91"/>
      <c r="D227" s="91"/>
      <c r="E227" s="91"/>
      <c r="F227" s="91"/>
      <c r="G227" s="91"/>
      <c r="H227" s="91"/>
      <c r="I227" s="91"/>
      <c r="J227" s="91"/>
      <c r="K227" s="91"/>
      <c r="L227" s="1133"/>
    </row>
    <row r="228" spans="1:12" ht="12.75">
      <c r="A228" s="1136" t="s">
        <v>10</v>
      </c>
      <c r="B228" s="4">
        <v>0.42</v>
      </c>
      <c r="C228" s="4"/>
      <c r="D228" s="4">
        <v>0.45</v>
      </c>
      <c r="E228" s="4">
        <v>0.5</v>
      </c>
      <c r="F228" s="4">
        <v>0.35</v>
      </c>
      <c r="G228" s="4">
        <v>1</v>
      </c>
      <c r="H228" s="4">
        <v>1</v>
      </c>
      <c r="I228" s="4">
        <v>0.4</v>
      </c>
      <c r="L228" s="1133"/>
    </row>
    <row r="229" spans="1:12" ht="12.75">
      <c r="A229" s="1136" t="s">
        <v>66</v>
      </c>
      <c r="B229" s="4">
        <v>0.33</v>
      </c>
      <c r="C229" s="4"/>
      <c r="D229" s="4">
        <v>0.4</v>
      </c>
      <c r="E229" s="4">
        <v>0.47</v>
      </c>
      <c r="F229" s="4">
        <v>0.3</v>
      </c>
      <c r="G229" s="4">
        <v>1</v>
      </c>
      <c r="H229" s="4">
        <v>0.3</v>
      </c>
      <c r="I229" s="4">
        <v>0.3</v>
      </c>
      <c r="L229" s="1133"/>
    </row>
    <row r="230" spans="1:12" ht="12.75">
      <c r="A230" s="1136" t="s">
        <v>67</v>
      </c>
      <c r="B230" s="4">
        <v>0.14</v>
      </c>
      <c r="C230" s="4"/>
      <c r="D230" s="4">
        <v>0.22</v>
      </c>
      <c r="E230" s="4">
        <v>0.27</v>
      </c>
      <c r="F230" s="4">
        <v>0.4</v>
      </c>
      <c r="G230" s="4">
        <v>1</v>
      </c>
      <c r="H230" s="4">
        <v>0.65</v>
      </c>
      <c r="I230" s="4">
        <v>0.21</v>
      </c>
      <c r="J230" s="4">
        <v>1</v>
      </c>
      <c r="K230" s="4">
        <v>1</v>
      </c>
      <c r="L230" s="1133"/>
    </row>
    <row r="231" spans="1:12" ht="13.5" thickBot="1">
      <c r="A231" s="1137" t="s">
        <v>12</v>
      </c>
      <c r="B231" s="4">
        <v>0.8</v>
      </c>
      <c r="C231" s="4"/>
      <c r="D231" s="4">
        <v>0.85</v>
      </c>
      <c r="E231" s="4">
        <v>0.92</v>
      </c>
      <c r="F231" s="4"/>
      <c r="G231" s="4"/>
      <c r="H231" s="4">
        <v>1</v>
      </c>
      <c r="I231" s="4">
        <v>0.73</v>
      </c>
      <c r="J231" s="4">
        <v>1</v>
      </c>
      <c r="K231" s="4">
        <v>1</v>
      </c>
      <c r="L231" s="1548"/>
    </row>
    <row r="232" spans="1:12" ht="18.75" thickBot="1">
      <c r="A232" s="1432" t="s">
        <v>448</v>
      </c>
      <c r="B232" s="1432"/>
      <c r="C232" s="1432"/>
      <c r="D232" s="1432"/>
      <c r="E232" s="1432"/>
      <c r="F232" s="1432"/>
      <c r="G232" s="1432"/>
      <c r="H232" s="1432"/>
      <c r="I232" s="1432"/>
      <c r="J232" s="1432"/>
      <c r="K232" s="1432"/>
      <c r="L232" s="1433"/>
    </row>
    <row r="233" spans="1:12" ht="16.5" thickBot="1">
      <c r="A233" s="1415" t="s">
        <v>64</v>
      </c>
      <c r="B233" s="1416"/>
      <c r="C233" s="1416"/>
      <c r="D233" s="1416"/>
      <c r="E233" s="1416"/>
      <c r="F233" s="1416"/>
      <c r="G233" s="1416"/>
      <c r="H233" s="1416"/>
      <c r="I233" s="1416"/>
      <c r="J233" s="1416"/>
      <c r="K233" s="1416"/>
      <c r="L233" s="1417"/>
    </row>
    <row r="234" spans="1:12" ht="12.75">
      <c r="A234" s="40" t="s">
        <v>0</v>
      </c>
      <c r="B234" s="41" t="s">
        <v>47</v>
      </c>
      <c r="C234" s="41" t="s">
        <v>48</v>
      </c>
      <c r="D234" s="1357" t="s">
        <v>230</v>
      </c>
      <c r="E234" s="41" t="s">
        <v>49</v>
      </c>
      <c r="F234" s="41" t="s">
        <v>50</v>
      </c>
      <c r="G234" s="41" t="s">
        <v>51</v>
      </c>
      <c r="H234" s="1357" t="s">
        <v>237</v>
      </c>
      <c r="I234" s="1357" t="s">
        <v>238</v>
      </c>
      <c r="J234" s="1357" t="s">
        <v>54</v>
      </c>
      <c r="K234" s="41" t="s">
        <v>55</v>
      </c>
      <c r="L234" s="43" t="s">
        <v>56</v>
      </c>
    </row>
    <row r="235" spans="1:12" ht="13.5" thickBot="1">
      <c r="A235" s="44" t="s">
        <v>1</v>
      </c>
      <c r="B235" s="45" t="s">
        <v>46</v>
      </c>
      <c r="C235" s="45" t="s">
        <v>58</v>
      </c>
      <c r="D235" s="1358" t="s">
        <v>59</v>
      </c>
      <c r="E235" s="45"/>
      <c r="F235" s="45"/>
      <c r="G235" s="45"/>
      <c r="H235" s="1358" t="s">
        <v>241</v>
      </c>
      <c r="I235" s="1358" t="s">
        <v>239</v>
      </c>
      <c r="J235" s="1358"/>
      <c r="K235" s="45"/>
      <c r="L235" s="47"/>
    </row>
    <row r="236" spans="1:12" ht="12.75">
      <c r="A236" s="48" t="s">
        <v>2</v>
      </c>
      <c r="B236" s="49"/>
      <c r="C236" s="49">
        <v>2.03</v>
      </c>
      <c r="D236" s="49"/>
      <c r="E236" s="49">
        <v>56.39</v>
      </c>
      <c r="F236" s="49">
        <v>1.1</v>
      </c>
      <c r="G236" s="49">
        <v>0.01</v>
      </c>
      <c r="H236" s="49">
        <v>0.43</v>
      </c>
      <c r="I236" s="49">
        <v>3.08</v>
      </c>
      <c r="J236" s="49"/>
      <c r="K236" s="49"/>
      <c r="L236" s="55">
        <v>63.05</v>
      </c>
    </row>
    <row r="237" spans="1:12" ht="12.75">
      <c r="A237" s="48" t="s">
        <v>5</v>
      </c>
      <c r="B237" s="49">
        <v>12.22</v>
      </c>
      <c r="C237" s="49">
        <v>61.2</v>
      </c>
      <c r="D237" s="49">
        <v>77.35</v>
      </c>
      <c r="E237" s="49">
        <v>18.38</v>
      </c>
      <c r="F237" s="49"/>
      <c r="G237" s="49"/>
      <c r="H237" s="49"/>
      <c r="I237" s="49">
        <v>0.71</v>
      </c>
      <c r="J237" s="49">
        <v>1.33</v>
      </c>
      <c r="K237" s="49"/>
      <c r="L237" s="55">
        <v>171.19</v>
      </c>
    </row>
    <row r="238" spans="1:12" ht="12.75">
      <c r="A238" s="48" t="s">
        <v>6</v>
      </c>
      <c r="B238" s="49">
        <v>-2.92</v>
      </c>
      <c r="C238" s="49">
        <v>-2.5</v>
      </c>
      <c r="D238" s="49">
        <v>-89.58</v>
      </c>
      <c r="E238" s="49">
        <v>-39.84</v>
      </c>
      <c r="F238" s="49"/>
      <c r="G238" s="49"/>
      <c r="H238" s="49"/>
      <c r="I238" s="49">
        <v>-0.32</v>
      </c>
      <c r="J238" s="49">
        <v>-0.91</v>
      </c>
      <c r="K238" s="49"/>
      <c r="L238" s="55">
        <v>-136.07</v>
      </c>
    </row>
    <row r="239" spans="1:12" ht="12.75">
      <c r="A239" s="3" t="s">
        <v>3</v>
      </c>
      <c r="B239" s="49"/>
      <c r="C239" s="49"/>
      <c r="D239" s="1549">
        <v>-14</v>
      </c>
      <c r="E239" s="49"/>
      <c r="F239" s="49"/>
      <c r="G239" s="49"/>
      <c r="H239" s="49"/>
      <c r="I239" s="49"/>
      <c r="J239" s="49"/>
      <c r="K239" s="49"/>
      <c r="L239" s="5">
        <v>-14</v>
      </c>
    </row>
    <row r="240" spans="1:12" ht="12.75">
      <c r="A240" s="3" t="s">
        <v>105</v>
      </c>
      <c r="B240" s="49"/>
      <c r="C240" s="49"/>
      <c r="D240" s="1549">
        <v>-3.46</v>
      </c>
      <c r="E240" s="49"/>
      <c r="F240" s="49"/>
      <c r="G240" s="49"/>
      <c r="H240" s="49"/>
      <c r="I240" s="49"/>
      <c r="J240" s="49"/>
      <c r="K240" s="49"/>
      <c r="L240" s="5">
        <v>-3.46</v>
      </c>
    </row>
    <row r="241" spans="1:12" ht="12.75">
      <c r="A241" s="48" t="s">
        <v>7</v>
      </c>
      <c r="B241" s="49">
        <v>-1.84</v>
      </c>
      <c r="C241" s="49">
        <v>-0.41</v>
      </c>
      <c r="D241" s="49">
        <v>-0.3</v>
      </c>
      <c r="E241" s="49">
        <v>0.03</v>
      </c>
      <c r="F241" s="49"/>
      <c r="G241" s="49"/>
      <c r="H241" s="49"/>
      <c r="I241" s="49">
        <v>-0.01</v>
      </c>
      <c r="J241" s="49"/>
      <c r="K241" s="49"/>
      <c r="L241" s="55">
        <v>-2.53</v>
      </c>
    </row>
    <row r="242" spans="1:12" ht="13.5" thickBot="1">
      <c r="A242" s="518" t="s">
        <v>236</v>
      </c>
      <c r="B242" s="56">
        <v>-0.2</v>
      </c>
      <c r="C242" s="56">
        <v>-2.38</v>
      </c>
      <c r="D242" s="56">
        <v>-9.75</v>
      </c>
      <c r="E242" s="49">
        <v>-1.98</v>
      </c>
      <c r="F242" s="49"/>
      <c r="G242" s="49"/>
      <c r="H242" s="49"/>
      <c r="I242" s="49"/>
      <c r="J242" s="49"/>
      <c r="K242" s="49"/>
      <c r="L242" s="59">
        <v>-14.31</v>
      </c>
    </row>
    <row r="243" spans="1:12" ht="15.75" thickBot="1">
      <c r="A243" s="50" t="s">
        <v>8</v>
      </c>
      <c r="B243" s="51">
        <f>7.46+B242</f>
        <v>7.26</v>
      </c>
      <c r="C243" s="1565">
        <f>60.32+C242</f>
        <v>57.94</v>
      </c>
      <c r="D243" s="51">
        <f>34.96+D242</f>
        <v>25.21</v>
      </c>
      <c r="E243" s="51">
        <f>34.96+E242</f>
        <v>32.980000000000004</v>
      </c>
      <c r="F243" s="51">
        <v>1.1</v>
      </c>
      <c r="G243" s="51">
        <v>0.01</v>
      </c>
      <c r="H243" s="51">
        <v>0.43</v>
      </c>
      <c r="I243" s="51">
        <v>3.46</v>
      </c>
      <c r="J243" s="51">
        <v>0.42</v>
      </c>
      <c r="K243" s="51"/>
      <c r="L243" s="52">
        <f>78.17+L242</f>
        <v>63.86</v>
      </c>
    </row>
    <row r="244" spans="1:12" ht="15">
      <c r="A244" s="84"/>
      <c r="B244" s="1550" t="s">
        <v>345</v>
      </c>
      <c r="C244" s="85"/>
      <c r="D244" s="85"/>
      <c r="E244" s="85"/>
      <c r="F244" s="902">
        <f>F243/($F243+$G243+$H243)</f>
        <v>0.7142857142857143</v>
      </c>
      <c r="G244" s="902">
        <f>G243/($F243+$G243+$H243)</f>
        <v>0.006493506493506493</v>
      </c>
      <c r="H244" s="902">
        <f>H243/($F243+$G243+$H243)</f>
        <v>0.2792207792207792</v>
      </c>
      <c r="I244" s="85"/>
      <c r="J244" s="85"/>
      <c r="K244" s="85"/>
      <c r="L244" s="85"/>
    </row>
    <row r="245" spans="1:12" ht="12.75">
      <c r="A245" s="48" t="s">
        <v>9</v>
      </c>
      <c r="B245" s="49"/>
      <c r="C245" s="49">
        <v>-0.44</v>
      </c>
      <c r="D245" s="49">
        <v>0.5</v>
      </c>
      <c r="E245" s="49"/>
      <c r="F245" s="49"/>
      <c r="G245" s="49"/>
      <c r="H245" s="49"/>
      <c r="I245" s="49"/>
      <c r="J245" s="49"/>
      <c r="K245" s="49"/>
      <c r="L245" s="55">
        <v>0.06</v>
      </c>
    </row>
    <row r="246" spans="1:12" ht="12.75">
      <c r="A246" s="48" t="s">
        <v>13</v>
      </c>
      <c r="B246" s="49">
        <v>-0.01</v>
      </c>
      <c r="C246" s="49">
        <v>0.41</v>
      </c>
      <c r="D246" s="49">
        <v>-0.67</v>
      </c>
      <c r="E246" s="49"/>
      <c r="F246" s="49"/>
      <c r="G246" s="49"/>
      <c r="H246" s="49"/>
      <c r="I246" s="49"/>
      <c r="J246" s="49"/>
      <c r="K246" s="49"/>
      <c r="L246" s="55">
        <v>-0.27</v>
      </c>
    </row>
    <row r="247" spans="1:12" ht="14.25">
      <c r="A247" s="48" t="s">
        <v>10</v>
      </c>
      <c r="B247" s="258">
        <v>-3.39</v>
      </c>
      <c r="C247" s="258"/>
      <c r="D247" s="258"/>
      <c r="E247" s="258">
        <v>-3.88</v>
      </c>
      <c r="F247" s="258">
        <v>-1.1</v>
      </c>
      <c r="G247" s="258">
        <v>-0.01</v>
      </c>
      <c r="H247" s="258">
        <v>-0.41</v>
      </c>
      <c r="I247" s="258">
        <v>-0.84</v>
      </c>
      <c r="J247" s="49">
        <v>4.52</v>
      </c>
      <c r="K247" s="87"/>
      <c r="L247" s="55">
        <v>-5.1</v>
      </c>
    </row>
    <row r="248" spans="1:12" ht="12.75">
      <c r="A248" s="48" t="s">
        <v>11</v>
      </c>
      <c r="B248" s="60">
        <v>-2.02</v>
      </c>
      <c r="C248" s="4"/>
      <c r="D248" s="60">
        <v>-0.41</v>
      </c>
      <c r="E248" s="60">
        <v>-8.45</v>
      </c>
      <c r="F248" s="60"/>
      <c r="G248" s="60"/>
      <c r="H248" s="60"/>
      <c r="I248" s="60">
        <v>-1.47</v>
      </c>
      <c r="J248" s="49">
        <v>5.24</v>
      </c>
      <c r="K248" s="49">
        <v>2.97</v>
      </c>
      <c r="L248" s="55">
        <v>-4.14</v>
      </c>
    </row>
    <row r="249" spans="1:12" ht="12.75">
      <c r="A249" s="48" t="s">
        <v>12</v>
      </c>
      <c r="B249" s="60"/>
      <c r="C249" s="60"/>
      <c r="D249" s="60"/>
      <c r="E249" s="60">
        <v>-0.25</v>
      </c>
      <c r="F249" s="60"/>
      <c r="G249" s="60"/>
      <c r="H249" s="60"/>
      <c r="I249" s="60">
        <v>-0.23</v>
      </c>
      <c r="J249" s="49"/>
      <c r="K249" s="49">
        <v>0.4</v>
      </c>
      <c r="L249" s="55">
        <v>-0.08</v>
      </c>
    </row>
    <row r="250" spans="1:12" ht="12.75">
      <c r="A250" s="247" t="s">
        <v>229</v>
      </c>
      <c r="B250" s="254">
        <v>-1</v>
      </c>
      <c r="C250" s="254"/>
      <c r="D250" s="254"/>
      <c r="E250" s="254"/>
      <c r="F250" s="254"/>
      <c r="G250" s="254"/>
      <c r="H250" s="254"/>
      <c r="I250" s="254"/>
      <c r="J250" s="49"/>
      <c r="K250" s="49"/>
      <c r="L250" s="55">
        <v>-1</v>
      </c>
    </row>
    <row r="251" spans="1:12" ht="12.75">
      <c r="A251" s="212" t="s">
        <v>14</v>
      </c>
      <c r="B251" s="49"/>
      <c r="C251" s="49"/>
      <c r="D251" s="49">
        <v>-0.13</v>
      </c>
      <c r="E251" s="49">
        <v>0.12</v>
      </c>
      <c r="F251" s="49"/>
      <c r="G251" s="49"/>
      <c r="H251" s="49"/>
      <c r="I251" s="49">
        <v>-0.01</v>
      </c>
      <c r="J251" s="49"/>
      <c r="K251" s="49"/>
      <c r="L251" s="55">
        <v>-0.02</v>
      </c>
    </row>
    <row r="252" spans="1:12" ht="12.75">
      <c r="A252" s="212" t="s">
        <v>232</v>
      </c>
      <c r="B252" s="49"/>
      <c r="C252" s="49">
        <v>-59.5</v>
      </c>
      <c r="D252" s="49">
        <v>58.76</v>
      </c>
      <c r="E252" s="49"/>
      <c r="F252" s="49"/>
      <c r="G252" s="49"/>
      <c r="H252" s="49"/>
      <c r="I252" s="49"/>
      <c r="J252" s="49"/>
      <c r="K252" s="49"/>
      <c r="L252" s="55">
        <v>-0.14</v>
      </c>
    </row>
    <row r="253" spans="1:12" ht="12.75">
      <c r="A253" s="212" t="s">
        <v>233</v>
      </c>
      <c r="B253" s="49"/>
      <c r="C253" s="49">
        <v>3.53</v>
      </c>
      <c r="D253" s="49">
        <v>-3.66</v>
      </c>
      <c r="E253" s="49"/>
      <c r="F253" s="49"/>
      <c r="G253" s="49"/>
      <c r="H253" s="49"/>
      <c r="I253" s="49"/>
      <c r="J253" s="49"/>
      <c r="K253" s="49"/>
      <c r="L253" s="55">
        <v>-0.74</v>
      </c>
    </row>
    <row r="254" spans="1:12" ht="12.75">
      <c r="A254" s="212" t="s">
        <v>231</v>
      </c>
      <c r="B254" s="49">
        <v>-0.14</v>
      </c>
      <c r="C254" s="49"/>
      <c r="D254" s="49"/>
      <c r="E254" s="49"/>
      <c r="F254" s="49"/>
      <c r="G254" s="49"/>
      <c r="H254" s="49"/>
      <c r="I254" s="49"/>
      <c r="J254" s="49"/>
      <c r="K254" s="49"/>
      <c r="L254" s="55">
        <v>-0.13</v>
      </c>
    </row>
    <row r="255" spans="1:12" ht="12.75">
      <c r="A255" s="48" t="s">
        <v>17</v>
      </c>
      <c r="B255" s="49"/>
      <c r="C255" s="49"/>
      <c r="D255" s="49"/>
      <c r="E255" s="49"/>
      <c r="F255" s="49"/>
      <c r="G255" s="49"/>
      <c r="H255" s="49"/>
      <c r="I255" s="49"/>
      <c r="J255" s="49"/>
      <c r="K255" s="49"/>
      <c r="L255" s="55"/>
    </row>
    <row r="256" spans="1:12" ht="12.75">
      <c r="A256" s="48" t="s">
        <v>18</v>
      </c>
      <c r="B256" s="49"/>
      <c r="C256" s="49"/>
      <c r="D256" s="49"/>
      <c r="E256" s="49"/>
      <c r="F256" s="49"/>
      <c r="G256" s="49"/>
      <c r="H256" s="49"/>
      <c r="I256" s="49">
        <v>0</v>
      </c>
      <c r="J256" s="49"/>
      <c r="K256" s="49">
        <v>-0.34</v>
      </c>
      <c r="L256" s="55">
        <v>-0.35</v>
      </c>
    </row>
    <row r="257" spans="1:12" ht="12.75">
      <c r="A257" s="48" t="s">
        <v>234</v>
      </c>
      <c r="B257" s="49">
        <v>-0.15</v>
      </c>
      <c r="C257" s="49"/>
      <c r="D257" s="49">
        <v>-2.34</v>
      </c>
      <c r="E257" s="49">
        <v>-1.46</v>
      </c>
      <c r="F257" s="49"/>
      <c r="G257" s="49"/>
      <c r="H257" s="49"/>
      <c r="I257" s="49"/>
      <c r="J257" s="49">
        <v>-0.86</v>
      </c>
      <c r="K257" s="49">
        <v>-0.47</v>
      </c>
      <c r="L257" s="55">
        <v>-5.28</v>
      </c>
    </row>
    <row r="258" spans="1:12" ht="12.75">
      <c r="A258" s="54" t="s">
        <v>235</v>
      </c>
      <c r="B258" s="54"/>
      <c r="C258" s="54"/>
      <c r="D258" s="54"/>
      <c r="E258" s="54"/>
      <c r="F258" s="54"/>
      <c r="G258" s="54"/>
      <c r="H258" s="54"/>
      <c r="I258" s="54"/>
      <c r="J258" s="54">
        <v>-0.38</v>
      </c>
      <c r="K258" s="54">
        <v>-0.51</v>
      </c>
      <c r="L258" s="55">
        <v>-0.88</v>
      </c>
    </row>
    <row r="259" spans="1:12" ht="15.75" thickBot="1">
      <c r="A259" s="3"/>
      <c r="B259" s="198"/>
      <c r="C259" s="198"/>
      <c r="D259" s="198"/>
      <c r="E259" s="198"/>
      <c r="F259" s="198"/>
      <c r="G259" s="198"/>
      <c r="H259" s="198"/>
      <c r="I259" s="198"/>
      <c r="J259" s="198"/>
      <c r="K259" s="198"/>
      <c r="L259" s="86"/>
    </row>
    <row r="260" spans="1:12" ht="15.75" thickBot="1">
      <c r="A260" s="50" t="s">
        <v>21</v>
      </c>
      <c r="B260" s="51">
        <v>0.76</v>
      </c>
      <c r="C260" s="51">
        <v>4.33</v>
      </c>
      <c r="D260" s="51">
        <v>22.05</v>
      </c>
      <c r="E260" s="51">
        <v>21.03</v>
      </c>
      <c r="F260" s="51"/>
      <c r="G260" s="51"/>
      <c r="H260" s="51">
        <v>0.03</v>
      </c>
      <c r="I260" s="51">
        <v>0.9</v>
      </c>
      <c r="J260" s="51">
        <v>8.94</v>
      </c>
      <c r="K260" s="51">
        <v>2.06</v>
      </c>
      <c r="L260" s="52">
        <v>60.1</v>
      </c>
    </row>
    <row r="261" spans="1:12" ht="12.75">
      <c r="A261" s="55" t="s">
        <v>22</v>
      </c>
      <c r="B261" s="56">
        <v>0.55</v>
      </c>
      <c r="C261" s="56">
        <v>1.95</v>
      </c>
      <c r="D261" s="56">
        <v>29</v>
      </c>
      <c r="E261" s="56">
        <v>4.78</v>
      </c>
      <c r="F261" s="56"/>
      <c r="G261" s="56"/>
      <c r="H261" s="56"/>
      <c r="I261" s="56">
        <v>0.13</v>
      </c>
      <c r="J261" s="56">
        <v>3.12</v>
      </c>
      <c r="K261" s="56">
        <v>1.04</v>
      </c>
      <c r="L261" s="55">
        <v>11.85</v>
      </c>
    </row>
    <row r="262" spans="1:12" ht="12.75">
      <c r="A262" s="48" t="s">
        <v>23</v>
      </c>
      <c r="B262" s="49">
        <v>0.49</v>
      </c>
      <c r="C262" s="49"/>
      <c r="D262" s="49">
        <v>0.01</v>
      </c>
      <c r="E262" s="49">
        <v>0.23</v>
      </c>
      <c r="F262" s="49"/>
      <c r="G262" s="49"/>
      <c r="H262" s="49"/>
      <c r="I262" s="49"/>
      <c r="J262" s="49">
        <v>0.21</v>
      </c>
      <c r="K262" s="49">
        <v>0</v>
      </c>
      <c r="L262" s="55">
        <v>0.93</v>
      </c>
    </row>
    <row r="263" spans="1:12" ht="12.75">
      <c r="A263" s="48" t="s">
        <v>24</v>
      </c>
      <c r="B263" s="1581"/>
      <c r="C263" s="49">
        <v>1.95</v>
      </c>
      <c r="D263" s="49">
        <v>0.13</v>
      </c>
      <c r="E263" s="49">
        <v>1.74</v>
      </c>
      <c r="F263" s="49"/>
      <c r="G263" s="49"/>
      <c r="H263" s="49"/>
      <c r="I263" s="49">
        <v>0</v>
      </c>
      <c r="J263" s="49">
        <v>1.06</v>
      </c>
      <c r="K263" s="49">
        <v>0.66</v>
      </c>
      <c r="L263" s="55">
        <v>5.55</v>
      </c>
    </row>
    <row r="264" spans="1:12" ht="12.75">
      <c r="A264" s="48" t="s">
        <v>25</v>
      </c>
      <c r="B264" s="49"/>
      <c r="C264" s="49"/>
      <c r="D264" s="49">
        <v>0.01</v>
      </c>
      <c r="E264" s="49">
        <v>0.07</v>
      </c>
      <c r="F264" s="49"/>
      <c r="G264" s="49"/>
      <c r="H264" s="49"/>
      <c r="I264" s="49"/>
      <c r="J264" s="49">
        <v>0.33</v>
      </c>
      <c r="K264" s="49">
        <v>0.03</v>
      </c>
      <c r="L264" s="55">
        <v>0.44</v>
      </c>
    </row>
    <row r="265" spans="1:12" ht="12.75">
      <c r="A265" s="48" t="s">
        <v>26</v>
      </c>
      <c r="B265" s="49">
        <v>0.03</v>
      </c>
      <c r="C265" s="49"/>
      <c r="D265" s="49">
        <v>0.01</v>
      </c>
      <c r="E265" s="49">
        <v>0.51</v>
      </c>
      <c r="F265" s="49"/>
      <c r="G265" s="49"/>
      <c r="H265" s="49"/>
      <c r="I265" s="49">
        <v>0</v>
      </c>
      <c r="J265" s="49">
        <v>0.13</v>
      </c>
      <c r="K265" s="49">
        <v>0</v>
      </c>
      <c r="L265" s="55">
        <v>0.67</v>
      </c>
    </row>
    <row r="266" spans="1:12" ht="12.75">
      <c r="A266" s="48" t="s">
        <v>27</v>
      </c>
      <c r="B266" s="49"/>
      <c r="C266" s="49"/>
      <c r="D266" s="49">
        <v>0.01</v>
      </c>
      <c r="E266" s="269">
        <v>0.06</v>
      </c>
      <c r="F266" s="49"/>
      <c r="G266" s="49"/>
      <c r="H266" s="49"/>
      <c r="I266" s="49"/>
      <c r="J266" s="49">
        <v>0.06</v>
      </c>
      <c r="K266" s="49">
        <v>0</v>
      </c>
      <c r="L266" s="55">
        <v>0.13</v>
      </c>
    </row>
    <row r="267" spans="1:12" ht="12.75">
      <c r="A267" s="48" t="s">
        <v>28</v>
      </c>
      <c r="B267" s="49"/>
      <c r="C267" s="49"/>
      <c r="D267" s="49">
        <v>0.01</v>
      </c>
      <c r="E267" s="49">
        <v>0.34</v>
      </c>
      <c r="F267" s="49"/>
      <c r="G267" s="49"/>
      <c r="H267" s="49"/>
      <c r="I267" s="49"/>
      <c r="J267" s="49">
        <v>0.3</v>
      </c>
      <c r="K267" s="49">
        <v>0.01</v>
      </c>
      <c r="L267" s="55">
        <v>0.65</v>
      </c>
    </row>
    <row r="268" spans="1:12" ht="12.75">
      <c r="A268" s="48" t="s">
        <v>29</v>
      </c>
      <c r="B268" s="49">
        <v>0</v>
      </c>
      <c r="C268" s="49"/>
      <c r="D268" s="49">
        <v>0</v>
      </c>
      <c r="E268" s="49">
        <v>0.03</v>
      </c>
      <c r="F268" s="49"/>
      <c r="G268" s="49"/>
      <c r="H268" s="49"/>
      <c r="I268" s="49"/>
      <c r="J268" s="49">
        <v>0.02</v>
      </c>
      <c r="K268" s="49">
        <v>0.09</v>
      </c>
      <c r="L268" s="55">
        <v>0.14</v>
      </c>
    </row>
    <row r="269" spans="1:12" ht="12.75">
      <c r="A269" s="48" t="s">
        <v>30</v>
      </c>
      <c r="B269" s="49">
        <v>0.03</v>
      </c>
      <c r="C269" s="49"/>
      <c r="D269" s="49">
        <v>0</v>
      </c>
      <c r="E269" s="49">
        <v>1.15</v>
      </c>
      <c r="F269" s="49"/>
      <c r="G269" s="49"/>
      <c r="H269" s="49"/>
      <c r="I269" s="49">
        <v>0.01</v>
      </c>
      <c r="J269" s="49">
        <v>0.53</v>
      </c>
      <c r="K269" s="49">
        <v>0.1</v>
      </c>
      <c r="L269" s="55">
        <v>1.82</v>
      </c>
    </row>
    <row r="270" spans="1:12" ht="12.75">
      <c r="A270" s="48" t="s">
        <v>31</v>
      </c>
      <c r="B270" s="49"/>
      <c r="C270" s="49"/>
      <c r="D270" s="49"/>
      <c r="E270" s="49">
        <v>0.34</v>
      </c>
      <c r="F270" s="49"/>
      <c r="G270" s="49"/>
      <c r="H270" s="49"/>
      <c r="I270" s="49">
        <v>0</v>
      </c>
      <c r="J270" s="49">
        <v>0.24</v>
      </c>
      <c r="K270" s="49">
        <v>0.14</v>
      </c>
      <c r="L270" s="55">
        <v>0.72</v>
      </c>
    </row>
    <row r="271" spans="1:12" ht="12.75">
      <c r="A271" s="48" t="s">
        <v>32</v>
      </c>
      <c r="B271" s="49"/>
      <c r="C271" s="49"/>
      <c r="D271" s="49"/>
      <c r="E271" s="49">
        <v>0.02</v>
      </c>
      <c r="F271" s="49"/>
      <c r="G271" s="49"/>
      <c r="H271" s="49"/>
      <c r="I271" s="49">
        <v>0.02</v>
      </c>
      <c r="J271" s="49">
        <v>0.02</v>
      </c>
      <c r="K271" s="49">
        <v>0</v>
      </c>
      <c r="L271" s="55">
        <v>0.07</v>
      </c>
    </row>
    <row r="272" spans="1:12" ht="12.75">
      <c r="A272" s="48" t="s">
        <v>33</v>
      </c>
      <c r="B272" s="49"/>
      <c r="C272" s="49"/>
      <c r="D272" s="49">
        <v>0.11</v>
      </c>
      <c r="E272" s="49">
        <v>0.09</v>
      </c>
      <c r="F272" s="49"/>
      <c r="G272" s="49"/>
      <c r="H272" s="49"/>
      <c r="I272" s="49">
        <v>0</v>
      </c>
      <c r="J272" s="49">
        <v>0.04</v>
      </c>
      <c r="K272" s="49"/>
      <c r="L272" s="55">
        <v>0.25</v>
      </c>
    </row>
    <row r="273" spans="1:12" ht="12.75">
      <c r="A273" s="48" t="s">
        <v>34</v>
      </c>
      <c r="B273" s="49"/>
      <c r="C273" s="49"/>
      <c r="D273" s="49"/>
      <c r="E273" s="49">
        <v>0.07</v>
      </c>
      <c r="F273" s="49"/>
      <c r="G273" s="49"/>
      <c r="H273" s="49"/>
      <c r="I273" s="49"/>
      <c r="J273" s="49">
        <v>0.03</v>
      </c>
      <c r="K273" s="49">
        <v>0</v>
      </c>
      <c r="L273" s="55">
        <v>0.1</v>
      </c>
    </row>
    <row r="274" spans="1:12" ht="12.75">
      <c r="A274" s="57" t="s">
        <v>35</v>
      </c>
      <c r="B274" s="58">
        <v>0.01</v>
      </c>
      <c r="C274" s="58"/>
      <c r="D274" s="58"/>
      <c r="E274" s="58">
        <v>0.12</v>
      </c>
      <c r="F274" s="58"/>
      <c r="G274" s="58"/>
      <c r="H274" s="58"/>
      <c r="I274" s="58">
        <v>0.08</v>
      </c>
      <c r="J274" s="58">
        <v>0.16</v>
      </c>
      <c r="K274" s="58">
        <v>0.01</v>
      </c>
      <c r="L274" s="67">
        <v>0.37</v>
      </c>
    </row>
    <row r="275" spans="1:12" ht="12.75">
      <c r="A275" s="55" t="s">
        <v>36</v>
      </c>
      <c r="B275" s="56"/>
      <c r="C275" s="215"/>
      <c r="D275" s="215">
        <v>10.97</v>
      </c>
      <c r="E275" s="214">
        <v>0</v>
      </c>
      <c r="F275" s="215"/>
      <c r="G275" s="215"/>
      <c r="H275" s="215"/>
      <c r="I275" s="215">
        <v>0.37</v>
      </c>
      <c r="J275" s="215">
        <v>0.14</v>
      </c>
      <c r="K275" s="215"/>
      <c r="L275" s="55">
        <v>11.49</v>
      </c>
    </row>
    <row r="276" spans="1:12" ht="12.75">
      <c r="A276" s="261" t="s">
        <v>98</v>
      </c>
      <c r="B276" s="49"/>
      <c r="C276" s="254"/>
      <c r="D276" s="237">
        <v>0.05</v>
      </c>
      <c r="E276" s="254"/>
      <c r="F276" s="254"/>
      <c r="G276" s="254"/>
      <c r="H276" s="254"/>
      <c r="I276" s="254"/>
      <c r="J276" s="254"/>
      <c r="K276" s="254"/>
      <c r="L276" s="59">
        <v>0.05</v>
      </c>
    </row>
    <row r="277" spans="1:12" ht="13.5" thickBot="1">
      <c r="A277" s="261" t="s">
        <v>283</v>
      </c>
      <c r="B277" s="49"/>
      <c r="C277" s="254"/>
      <c r="D277" s="237">
        <v>10.75</v>
      </c>
      <c r="E277" s="254">
        <v>0</v>
      </c>
      <c r="F277" s="254"/>
      <c r="G277" s="254"/>
      <c r="H277" s="254"/>
      <c r="I277" s="254">
        <v>0.37</v>
      </c>
      <c r="J277" s="254">
        <v>0.004</v>
      </c>
      <c r="K277" s="254"/>
      <c r="L277" s="59">
        <v>11.13</v>
      </c>
    </row>
    <row r="278" spans="1:12" ht="15" thickBot="1">
      <c r="A278" s="853"/>
      <c r="B278" s="854"/>
      <c r="C278" s="855" t="s">
        <v>258</v>
      </c>
      <c r="D278" s="856" t="s">
        <v>260</v>
      </c>
      <c r="E278" s="860" t="s">
        <v>120</v>
      </c>
      <c r="F278" s="1551"/>
      <c r="G278" s="1552"/>
      <c r="H278" s="1553"/>
      <c r="I278" s="859" t="s">
        <v>282</v>
      </c>
      <c r="J278" s="860" t="s">
        <v>257</v>
      </c>
      <c r="K278" s="861"/>
      <c r="L278" s="1554"/>
    </row>
    <row r="279" spans="1:12" ht="14.25">
      <c r="A279" s="853" t="s">
        <v>284</v>
      </c>
      <c r="B279" s="854"/>
      <c r="C279" s="1555"/>
      <c r="D279" s="1556"/>
      <c r="E279" s="862"/>
      <c r="F279" s="1551"/>
      <c r="G279" s="1552"/>
      <c r="H279" s="1553"/>
      <c r="I279" s="1557"/>
      <c r="J279" s="862"/>
      <c r="K279" s="861"/>
      <c r="L279" s="863"/>
    </row>
    <row r="280" spans="1:12" ht="12.75">
      <c r="A280" s="864" t="s">
        <v>127</v>
      </c>
      <c r="B280" s="865"/>
      <c r="C280" s="866"/>
      <c r="D280" s="867"/>
      <c r="E280" s="868"/>
      <c r="F280" s="865"/>
      <c r="G280" s="865"/>
      <c r="H280" s="865"/>
      <c r="I280" s="869"/>
      <c r="J280" s="868"/>
      <c r="K280" s="865"/>
      <c r="L280" s="870"/>
    </row>
    <row r="281" spans="1:12" ht="12.75">
      <c r="A281" s="871" t="s">
        <v>128</v>
      </c>
      <c r="B281" s="872"/>
      <c r="C281" s="873"/>
      <c r="D281" s="874"/>
      <c r="E281" s="875"/>
      <c r="F281" s="872"/>
      <c r="G281" s="872"/>
      <c r="H281" s="872"/>
      <c r="I281" s="876"/>
      <c r="J281" s="875"/>
      <c r="K281" s="872"/>
      <c r="L281" s="877"/>
    </row>
    <row r="282" spans="1:12" ht="12.75">
      <c r="A282" s="871" t="s">
        <v>285</v>
      </c>
      <c r="B282" s="872"/>
      <c r="C282" s="873"/>
      <c r="D282" s="874"/>
      <c r="E282" s="875"/>
      <c r="F282" s="872"/>
      <c r="G282" s="872"/>
      <c r="H282" s="872"/>
      <c r="I282" s="876"/>
      <c r="J282" s="875"/>
      <c r="K282" s="872"/>
      <c r="L282" s="877"/>
    </row>
    <row r="283" spans="1:12" ht="12.75">
      <c r="A283" s="871" t="s">
        <v>134</v>
      </c>
      <c r="B283" s="872"/>
      <c r="C283" s="873"/>
      <c r="D283" s="874"/>
      <c r="E283" s="875"/>
      <c r="F283" s="872"/>
      <c r="G283" s="872"/>
      <c r="H283" s="872"/>
      <c r="I283" s="876"/>
      <c r="J283" s="875"/>
      <c r="K283" s="872"/>
      <c r="L283" s="877"/>
    </row>
    <row r="284" spans="1:12" ht="12.75">
      <c r="A284" s="871" t="s">
        <v>131</v>
      </c>
      <c r="B284" s="872"/>
      <c r="C284" s="873"/>
      <c r="D284" s="874"/>
      <c r="E284" s="875"/>
      <c r="F284" s="872"/>
      <c r="G284" s="872"/>
      <c r="H284" s="872"/>
      <c r="I284" s="876"/>
      <c r="J284" s="875"/>
      <c r="K284" s="872"/>
      <c r="L284" s="877"/>
    </row>
    <row r="285" spans="1:12" ht="12.75">
      <c r="A285" s="864" t="s">
        <v>132</v>
      </c>
      <c r="B285" s="865"/>
      <c r="C285" s="866"/>
      <c r="D285" s="867"/>
      <c r="E285" s="868"/>
      <c r="F285" s="865"/>
      <c r="G285" s="865"/>
      <c r="H285" s="865"/>
      <c r="I285" s="869"/>
      <c r="J285" s="868"/>
      <c r="K285" s="865"/>
      <c r="L285" s="870"/>
    </row>
    <row r="286" spans="1:12" ht="12.75">
      <c r="A286" s="48" t="s">
        <v>39</v>
      </c>
      <c r="B286" s="49"/>
      <c r="C286" s="617">
        <v>0.02</v>
      </c>
      <c r="D286" s="231"/>
      <c r="E286" s="618"/>
      <c r="F286" s="254"/>
      <c r="G286" s="254"/>
      <c r="H286" s="254"/>
      <c r="I286" s="619">
        <f>I287+I288</f>
        <v>0</v>
      </c>
      <c r="J286" s="618">
        <v>0.14</v>
      </c>
      <c r="K286" s="254"/>
      <c r="L286" s="55">
        <v>0.16</v>
      </c>
    </row>
    <row r="287" spans="1:12" ht="12.75">
      <c r="A287" s="864" t="s">
        <v>127</v>
      </c>
      <c r="B287" s="865"/>
      <c r="C287" s="866"/>
      <c r="D287" s="867"/>
      <c r="E287" s="868"/>
      <c r="F287" s="865"/>
      <c r="G287" s="865"/>
      <c r="H287" s="865"/>
      <c r="I287" s="869"/>
      <c r="J287" s="868"/>
      <c r="K287" s="865"/>
      <c r="L287" s="870"/>
    </row>
    <row r="288" spans="1:12" ht="13.5" thickBot="1">
      <c r="A288" s="864" t="s">
        <v>132</v>
      </c>
      <c r="B288" s="865"/>
      <c r="C288" s="878"/>
      <c r="D288" s="879"/>
      <c r="E288" s="880"/>
      <c r="F288" s="865"/>
      <c r="G288" s="865"/>
      <c r="H288" s="865"/>
      <c r="I288" s="881"/>
      <c r="J288" s="880"/>
      <c r="K288" s="865"/>
      <c r="L288" s="870"/>
    </row>
    <row r="289" spans="1:12" ht="12.75">
      <c r="A289" s="48" t="s">
        <v>40</v>
      </c>
      <c r="B289" s="49"/>
      <c r="C289" s="254"/>
      <c r="D289" s="254"/>
      <c r="E289" s="254">
        <v>0</v>
      </c>
      <c r="F289" s="254"/>
      <c r="G289" s="254"/>
      <c r="H289" s="254"/>
      <c r="I289" s="254"/>
      <c r="J289" s="254"/>
      <c r="K289" s="254"/>
      <c r="L289" s="55">
        <v>0</v>
      </c>
    </row>
    <row r="290" spans="1:12" ht="12.75">
      <c r="A290" s="261" t="s">
        <v>99</v>
      </c>
      <c r="B290" s="49"/>
      <c r="C290" s="254"/>
      <c r="D290" s="254">
        <v>0.15</v>
      </c>
      <c r="E290" s="254"/>
      <c r="F290" s="254"/>
      <c r="G290" s="254"/>
      <c r="H290" s="254"/>
      <c r="I290" s="254"/>
      <c r="J290" s="254"/>
      <c r="K290" s="254"/>
      <c r="L290" s="56">
        <v>0.15</v>
      </c>
    </row>
    <row r="291" spans="1:12" ht="12.75">
      <c r="A291" s="57" t="s">
        <v>35</v>
      </c>
      <c r="B291" s="58"/>
      <c r="C291" s="255"/>
      <c r="D291" s="255"/>
      <c r="E291" s="255"/>
      <c r="F291" s="255"/>
      <c r="G291" s="255"/>
      <c r="H291" s="255"/>
      <c r="I291" s="255"/>
      <c r="J291" s="255"/>
      <c r="K291" s="237"/>
      <c r="L291" s="67"/>
    </row>
    <row r="292" spans="1:12" ht="12.75">
      <c r="A292" s="55" t="s">
        <v>42</v>
      </c>
      <c r="B292" s="56">
        <v>0.01</v>
      </c>
      <c r="C292" s="215"/>
      <c r="D292" s="215">
        <v>1.04</v>
      </c>
      <c r="E292" s="215">
        <v>14.27</v>
      </c>
      <c r="F292" s="215"/>
      <c r="G292" s="215"/>
      <c r="H292" s="56">
        <v>0.03</v>
      </c>
      <c r="I292" s="56">
        <v>0.4</v>
      </c>
      <c r="J292" s="56">
        <v>5.68</v>
      </c>
      <c r="K292" s="89">
        <v>1.02</v>
      </c>
      <c r="L292" s="55">
        <v>22.45</v>
      </c>
    </row>
    <row r="293" spans="1:12" ht="12.75">
      <c r="A293" s="212" t="s">
        <v>43</v>
      </c>
      <c r="B293" s="49">
        <v>0.005</v>
      </c>
      <c r="C293" s="254"/>
      <c r="D293" s="254">
        <v>0.06</v>
      </c>
      <c r="E293" s="254">
        <v>7.46</v>
      </c>
      <c r="F293" s="254"/>
      <c r="G293" s="254"/>
      <c r="H293" s="49">
        <v>0.02</v>
      </c>
      <c r="I293" s="49">
        <v>0.3</v>
      </c>
      <c r="J293" s="49">
        <v>2.08</v>
      </c>
      <c r="K293" s="270">
        <v>0.27</v>
      </c>
      <c r="L293" s="55">
        <v>10.19</v>
      </c>
    </row>
    <row r="294" spans="1:12" ht="12.75">
      <c r="A294" s="261" t="s">
        <v>138</v>
      </c>
      <c r="B294" s="49">
        <v>0.005</v>
      </c>
      <c r="C294" s="254"/>
      <c r="D294" s="254">
        <v>0.42</v>
      </c>
      <c r="E294" s="254">
        <v>4.95</v>
      </c>
      <c r="F294" s="254"/>
      <c r="G294" s="254"/>
      <c r="H294" s="49">
        <v>0.005</v>
      </c>
      <c r="I294" s="49">
        <v>0.04</v>
      </c>
      <c r="J294" s="49">
        <v>2.9</v>
      </c>
      <c r="K294" s="270">
        <v>0.62</v>
      </c>
      <c r="L294" s="55">
        <v>8.94</v>
      </c>
    </row>
    <row r="295" spans="1:12" ht="12.75">
      <c r="A295" s="224" t="s">
        <v>135</v>
      </c>
      <c r="B295" s="254"/>
      <c r="C295" s="254"/>
      <c r="D295" s="254"/>
      <c r="E295" s="254"/>
      <c r="F295" s="254"/>
      <c r="G295" s="254"/>
      <c r="H295" s="254"/>
      <c r="I295" s="254"/>
      <c r="J295" s="1558"/>
      <c r="K295" s="900"/>
      <c r="L295" s="234"/>
    </row>
    <row r="296" spans="1:12" ht="12.75">
      <c r="A296" s="225" t="s">
        <v>136</v>
      </c>
      <c r="B296" s="254"/>
      <c r="C296" s="254"/>
      <c r="D296" s="254"/>
      <c r="E296" s="254"/>
      <c r="F296" s="254"/>
      <c r="G296" s="254"/>
      <c r="H296" s="254"/>
      <c r="I296" s="254"/>
      <c r="J296" s="1558"/>
      <c r="K296" s="900"/>
      <c r="L296" s="234"/>
    </row>
    <row r="297" spans="1:12" ht="12.75">
      <c r="A297" s="48" t="s">
        <v>44</v>
      </c>
      <c r="B297" s="254"/>
      <c r="C297" s="254"/>
      <c r="D297" s="254">
        <v>0.5</v>
      </c>
      <c r="E297" s="254">
        <v>1.86</v>
      </c>
      <c r="F297" s="254"/>
      <c r="G297" s="254"/>
      <c r="H297" s="254">
        <v>0.005</v>
      </c>
      <c r="I297" s="254">
        <v>0.06</v>
      </c>
      <c r="J297" s="254">
        <v>0.7</v>
      </c>
      <c r="K297" s="900">
        <v>0.14</v>
      </c>
      <c r="L297" s="234">
        <v>3.25</v>
      </c>
    </row>
    <row r="298" spans="1:12" ht="12.75">
      <c r="A298" s="48" t="s">
        <v>45</v>
      </c>
      <c r="B298" s="254"/>
      <c r="C298" s="254"/>
      <c r="D298" s="254">
        <v>0.05</v>
      </c>
      <c r="E298" s="254"/>
      <c r="F298" s="254"/>
      <c r="G298" s="254"/>
      <c r="H298" s="254">
        <v>0</v>
      </c>
      <c r="I298" s="254"/>
      <c r="J298" s="254"/>
      <c r="K298" s="900"/>
      <c r="L298" s="234">
        <v>0.05</v>
      </c>
    </row>
    <row r="299" spans="1:12" ht="13.5" thickBot="1">
      <c r="A299" s="57" t="s">
        <v>35</v>
      </c>
      <c r="B299" s="255"/>
      <c r="C299" s="255"/>
      <c r="D299" s="255"/>
      <c r="E299" s="255"/>
      <c r="F299" s="255"/>
      <c r="G299" s="255"/>
      <c r="H299" s="255"/>
      <c r="I299" s="255"/>
      <c r="J299" s="255"/>
      <c r="K299" s="1559"/>
      <c r="L299" s="257">
        <v>0.01</v>
      </c>
    </row>
    <row r="300" spans="1:12" ht="27" thickBot="1">
      <c r="A300" s="1348" t="s">
        <v>449</v>
      </c>
      <c r="B300" s="252"/>
      <c r="C300" s="1560" t="s">
        <v>426</v>
      </c>
      <c r="D300" s="1346">
        <v>23</v>
      </c>
      <c r="E300" s="1343"/>
      <c r="F300" s="1343"/>
      <c r="G300" s="1560" t="s">
        <v>427</v>
      </c>
      <c r="H300" s="1351">
        <v>1.067</v>
      </c>
      <c r="I300" s="1344"/>
      <c r="J300" s="1561" t="s">
        <v>428</v>
      </c>
      <c r="K300" s="1352">
        <v>3.4</v>
      </c>
      <c r="L300" s="580" t="s">
        <v>94</v>
      </c>
    </row>
  </sheetData>
  <mergeCells count="9">
    <mergeCell ref="A158:L158"/>
    <mergeCell ref="A232:L232"/>
    <mergeCell ref="A233:L233"/>
    <mergeCell ref="A6:L6"/>
    <mergeCell ref="A7:L7"/>
    <mergeCell ref="A82:L82"/>
    <mergeCell ref="A83:L83"/>
    <mergeCell ref="F128:H129"/>
    <mergeCell ref="A157:L15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workbookViewId="0" topLeftCell="A30">
      <selection activeCell="S67" sqref="S67"/>
    </sheetView>
  </sheetViews>
  <sheetFormatPr defaultColWidth="9.140625" defaultRowHeight="12.75"/>
  <cols>
    <col min="1" max="1" width="30.28125" style="0" customWidth="1"/>
  </cols>
  <sheetData>
    <row r="1" spans="1:12" ht="18">
      <c r="A1" s="978"/>
      <c r="B1" s="66" t="s">
        <v>293</v>
      </c>
      <c r="L1" s="1"/>
    </row>
    <row r="2" spans="1:12" ht="12.75">
      <c r="A2" t="s">
        <v>10</v>
      </c>
      <c r="B2" s="4">
        <v>0.3695</v>
      </c>
      <c r="C2" s="4"/>
      <c r="D2" s="4">
        <v>0.4</v>
      </c>
      <c r="E2" s="4">
        <v>0.46</v>
      </c>
      <c r="F2" s="4">
        <v>0.325</v>
      </c>
      <c r="G2" s="4">
        <v>1</v>
      </c>
      <c r="H2" s="4">
        <v>1</v>
      </c>
      <c r="I2" s="4">
        <v>0.32</v>
      </c>
      <c r="L2" s="1"/>
    </row>
    <row r="3" spans="1:12" ht="12.75">
      <c r="A3" t="s">
        <v>66</v>
      </c>
      <c r="B3" s="4">
        <v>0.315</v>
      </c>
      <c r="C3" s="4"/>
      <c r="D3" s="4">
        <v>0.38</v>
      </c>
      <c r="E3" s="4">
        <v>0.42</v>
      </c>
      <c r="F3" s="4">
        <v>0.3</v>
      </c>
      <c r="G3" s="4">
        <v>1</v>
      </c>
      <c r="H3" s="4">
        <v>0.3</v>
      </c>
      <c r="I3" s="4">
        <v>0.28</v>
      </c>
      <c r="L3" s="1"/>
    </row>
    <row r="4" spans="1:12" ht="12.75">
      <c r="A4" t="s">
        <v>67</v>
      </c>
      <c r="B4" s="4">
        <v>0.229</v>
      </c>
      <c r="C4" s="4"/>
      <c r="D4" s="4">
        <v>0.3</v>
      </c>
      <c r="E4" s="4">
        <v>0.33</v>
      </c>
      <c r="F4" s="4">
        <v>0.4</v>
      </c>
      <c r="G4" s="4">
        <v>1</v>
      </c>
      <c r="H4" s="4">
        <v>0.65</v>
      </c>
      <c r="I4" s="4">
        <v>0.21</v>
      </c>
      <c r="J4" s="4">
        <v>1</v>
      </c>
      <c r="K4" s="4">
        <v>1</v>
      </c>
      <c r="L4" s="1"/>
    </row>
    <row r="5" spans="1:12" ht="12.75">
      <c r="A5" t="s">
        <v>12</v>
      </c>
      <c r="B5" s="4">
        <v>0.8</v>
      </c>
      <c r="C5" s="4"/>
      <c r="D5" s="4">
        <v>0.85</v>
      </c>
      <c r="E5" s="4">
        <v>0.92</v>
      </c>
      <c r="F5" s="4"/>
      <c r="G5" s="4"/>
      <c r="H5" s="4">
        <v>1</v>
      </c>
      <c r="I5" s="4">
        <v>0.73</v>
      </c>
      <c r="J5" s="4">
        <v>1</v>
      </c>
      <c r="K5" s="4">
        <v>1</v>
      </c>
      <c r="L5" s="1"/>
    </row>
    <row r="6" spans="1:12" ht="18.75" thickBot="1">
      <c r="A6" s="976"/>
      <c r="B6" s="976"/>
      <c r="C6" s="979"/>
      <c r="D6" s="979" t="s">
        <v>343</v>
      </c>
      <c r="E6" s="976"/>
      <c r="F6" s="976"/>
      <c r="G6" s="976" t="s">
        <v>344</v>
      </c>
      <c r="H6" s="976"/>
      <c r="I6" s="976"/>
      <c r="J6" s="976"/>
      <c r="K6" s="976"/>
      <c r="L6" s="977"/>
    </row>
    <row r="7" spans="1:12" ht="16.5" thickBot="1">
      <c r="A7" s="1415" t="s">
        <v>64</v>
      </c>
      <c r="B7" s="1416"/>
      <c r="C7" s="1416"/>
      <c r="D7" s="1416"/>
      <c r="E7" s="1416"/>
      <c r="F7" s="1416"/>
      <c r="G7" s="1416"/>
      <c r="H7" s="1416"/>
      <c r="I7" s="1416"/>
      <c r="J7" s="1416"/>
      <c r="K7" s="1416"/>
      <c r="L7" s="1417"/>
    </row>
    <row r="8" spans="1:12" ht="12.75">
      <c r="A8" s="40" t="s">
        <v>0</v>
      </c>
      <c r="B8" s="41" t="s">
        <v>47</v>
      </c>
      <c r="C8" s="41" t="s">
        <v>48</v>
      </c>
      <c r="D8" s="1357" t="s">
        <v>230</v>
      </c>
      <c r="E8" s="41" t="s">
        <v>49</v>
      </c>
      <c r="F8" s="41" t="s">
        <v>50</v>
      </c>
      <c r="G8" s="41" t="s">
        <v>51</v>
      </c>
      <c r="H8" s="1357" t="s">
        <v>237</v>
      </c>
      <c r="I8" s="1357" t="s">
        <v>238</v>
      </c>
      <c r="J8" s="1357" t="s">
        <v>54</v>
      </c>
      <c r="K8" s="41" t="s">
        <v>55</v>
      </c>
      <c r="L8" s="43" t="s">
        <v>56</v>
      </c>
    </row>
    <row r="9" spans="1:12" ht="13.5" thickBot="1">
      <c r="A9" s="44" t="s">
        <v>1</v>
      </c>
      <c r="B9" s="45" t="s">
        <v>46</v>
      </c>
      <c r="C9" s="45" t="s">
        <v>58</v>
      </c>
      <c r="D9" s="1358" t="s">
        <v>59</v>
      </c>
      <c r="E9" s="45"/>
      <c r="F9" s="45"/>
      <c r="G9" s="45"/>
      <c r="H9" s="1358" t="s">
        <v>241</v>
      </c>
      <c r="I9" s="1358" t="s">
        <v>239</v>
      </c>
      <c r="J9" s="1358"/>
      <c r="K9" s="45"/>
      <c r="L9" s="47"/>
    </row>
    <row r="10" spans="1:12" ht="12.75">
      <c r="A10" s="48" t="s">
        <v>2</v>
      </c>
      <c r="B10" s="49">
        <v>174.43</v>
      </c>
      <c r="C10" s="49">
        <v>211.68</v>
      </c>
      <c r="D10" s="49"/>
      <c r="E10" s="49">
        <v>235.29</v>
      </c>
      <c r="F10" s="49">
        <v>230.45</v>
      </c>
      <c r="G10" s="49">
        <v>44.27</v>
      </c>
      <c r="H10" s="49">
        <v>25.46</v>
      </c>
      <c r="I10" s="49">
        <v>111.85</v>
      </c>
      <c r="J10" s="49"/>
      <c r="K10" s="49">
        <v>0.42</v>
      </c>
      <c r="L10" s="55">
        <v>1033.85</v>
      </c>
    </row>
    <row r="11" spans="1:12" ht="12.75">
      <c r="A11" s="48" t="s">
        <v>5</v>
      </c>
      <c r="B11" s="49">
        <v>143.16</v>
      </c>
      <c r="C11" s="49">
        <v>600.42</v>
      </c>
      <c r="D11" s="49">
        <v>323.06</v>
      </c>
      <c r="E11" s="49">
        <v>365.87</v>
      </c>
      <c r="F11" s="49"/>
      <c r="G11" s="49"/>
      <c r="H11" s="49"/>
      <c r="I11" s="49">
        <v>6.86</v>
      </c>
      <c r="J11" s="49">
        <v>26.73</v>
      </c>
      <c r="K11" s="49">
        <v>0</v>
      </c>
      <c r="L11" s="55">
        <v>1466.11</v>
      </c>
    </row>
    <row r="12" spans="1:12" ht="12.75">
      <c r="A12" s="48" t="s">
        <v>6</v>
      </c>
      <c r="B12" s="49">
        <v>-23.65</v>
      </c>
      <c r="C12" s="49">
        <v>-155.63</v>
      </c>
      <c r="D12" s="49">
        <v>-283.58</v>
      </c>
      <c r="E12" s="49">
        <v>-159.21</v>
      </c>
      <c r="F12" s="49"/>
      <c r="G12" s="49"/>
      <c r="H12" s="49"/>
      <c r="I12" s="49">
        <v>-1.98</v>
      </c>
      <c r="J12" s="49">
        <v>-25.71</v>
      </c>
      <c r="K12" s="49">
        <v>-0.01</v>
      </c>
      <c r="L12" s="55">
        <v>-649.77</v>
      </c>
    </row>
    <row r="13" spans="1:12" ht="12.75">
      <c r="A13" s="212" t="s">
        <v>3</v>
      </c>
      <c r="B13" s="254">
        <v>0</v>
      </c>
      <c r="C13" s="254"/>
      <c r="D13" s="973">
        <v>-47</v>
      </c>
      <c r="E13" s="254"/>
      <c r="F13" s="254"/>
      <c r="G13" s="254"/>
      <c r="H13" s="254"/>
      <c r="I13" s="254"/>
      <c r="J13" s="254"/>
      <c r="K13" s="254"/>
      <c r="L13" s="234">
        <v>-47</v>
      </c>
    </row>
    <row r="14" spans="1:12" ht="12.75">
      <c r="A14" s="212" t="s">
        <v>105</v>
      </c>
      <c r="B14" s="254"/>
      <c r="C14" s="254"/>
      <c r="D14" s="973">
        <v>-44.8</v>
      </c>
      <c r="E14" s="254"/>
      <c r="F14" s="254"/>
      <c r="G14" s="254"/>
      <c r="H14" s="254"/>
      <c r="I14" s="254"/>
      <c r="J14" s="254"/>
      <c r="K14" s="254"/>
      <c r="L14" s="234">
        <v>-44.8</v>
      </c>
    </row>
    <row r="15" spans="1:12" ht="12.75">
      <c r="A15" s="48" t="s">
        <v>7</v>
      </c>
      <c r="B15" s="49">
        <v>-10.93</v>
      </c>
      <c r="C15" s="49">
        <v>3.31</v>
      </c>
      <c r="D15" s="49">
        <v>0.05</v>
      </c>
      <c r="E15" s="49">
        <v>-4.71</v>
      </c>
      <c r="F15" s="49"/>
      <c r="G15" s="49"/>
      <c r="H15" s="49"/>
      <c r="I15" s="49">
        <v>-0.04</v>
      </c>
      <c r="J15" s="49"/>
      <c r="K15" s="49"/>
      <c r="L15" s="55">
        <v>-12.32</v>
      </c>
    </row>
    <row r="16" spans="1:12" ht="13.5" thickBot="1">
      <c r="A16" s="518" t="s">
        <v>236</v>
      </c>
      <c r="B16" s="56">
        <v>-1.11</v>
      </c>
      <c r="C16" s="56">
        <v>-2.39</v>
      </c>
      <c r="D16" s="56">
        <v>-92.78</v>
      </c>
      <c r="E16" s="56">
        <v>-11.03</v>
      </c>
      <c r="F16" s="49"/>
      <c r="G16" s="49"/>
      <c r="H16" s="49"/>
      <c r="I16" s="49"/>
      <c r="J16" s="49"/>
      <c r="K16" s="49"/>
      <c r="L16" s="59">
        <v>-107.31</v>
      </c>
    </row>
    <row r="17" spans="1:12" ht="15.75" thickBot="1">
      <c r="A17" s="50" t="s">
        <v>8</v>
      </c>
      <c r="B17" s="51">
        <f>283.02+B16</f>
        <v>281.90999999999997</v>
      </c>
      <c r="C17" s="51">
        <f>659.78+C16</f>
        <v>657.39</v>
      </c>
      <c r="D17" s="903">
        <f>-52.28+D16</f>
        <v>-145.06</v>
      </c>
      <c r="E17" s="51">
        <f>437.25+E16</f>
        <v>426.22</v>
      </c>
      <c r="F17" s="51">
        <v>230.45</v>
      </c>
      <c r="G17" s="51">
        <v>44.27</v>
      </c>
      <c r="H17" s="51">
        <v>25.46</v>
      </c>
      <c r="I17" s="51">
        <v>116.68</v>
      </c>
      <c r="J17" s="51">
        <v>1.02</v>
      </c>
      <c r="K17" s="51">
        <v>0.41</v>
      </c>
      <c r="L17" s="52">
        <f>1746.08+L16</f>
        <v>1638.77</v>
      </c>
    </row>
    <row r="18" spans="1:12" ht="16.5">
      <c r="A18" s="84"/>
      <c r="B18" s="901" t="s">
        <v>345</v>
      </c>
      <c r="C18" s="902"/>
      <c r="D18" s="902"/>
      <c r="E18" s="902"/>
      <c r="F18" s="902">
        <f>F17/($F17+$G17+$H17)</f>
        <v>0.7677060430408422</v>
      </c>
      <c r="G18" s="902">
        <f>G17/($F17+$G17+$H17)</f>
        <v>0.14747817975881142</v>
      </c>
      <c r="H18" s="902">
        <f>H17/($F17+$G17+$H17)</f>
        <v>0.08481577720034647</v>
      </c>
      <c r="I18" s="85"/>
      <c r="J18" s="85"/>
      <c r="K18" s="85"/>
      <c r="L18" s="85"/>
    </row>
    <row r="19" spans="1:12" ht="12.75">
      <c r="A19" s="48" t="s">
        <v>9</v>
      </c>
      <c r="B19" s="49"/>
      <c r="C19" s="49">
        <v>7.44</v>
      </c>
      <c r="D19" s="53">
        <v>-5.14</v>
      </c>
      <c r="E19" s="49">
        <v>0</v>
      </c>
      <c r="F19" s="49"/>
      <c r="G19" s="49"/>
      <c r="H19" s="49"/>
      <c r="I19" s="49"/>
      <c r="J19" s="49"/>
      <c r="K19" s="49"/>
      <c r="L19" s="55">
        <v>2.29</v>
      </c>
    </row>
    <row r="20" spans="1:12" ht="12.75">
      <c r="A20" s="48" t="s">
        <v>13</v>
      </c>
      <c r="B20" s="49">
        <v>0.35</v>
      </c>
      <c r="C20" s="49">
        <v>3.5</v>
      </c>
      <c r="D20" s="49">
        <v>-6.48</v>
      </c>
      <c r="E20" s="49">
        <v>-2.41</v>
      </c>
      <c r="F20" s="49"/>
      <c r="G20" s="49"/>
      <c r="H20" s="49"/>
      <c r="I20" s="49">
        <v>-0.01</v>
      </c>
      <c r="J20" s="49">
        <v>-0.07</v>
      </c>
      <c r="K20" s="49">
        <v>0</v>
      </c>
      <c r="L20" s="55">
        <v>-5.12</v>
      </c>
    </row>
    <row r="21" spans="1:12" ht="14.25">
      <c r="A21" s="48" t="s">
        <v>10</v>
      </c>
      <c r="B21" s="258">
        <v>-144.41</v>
      </c>
      <c r="C21" s="258"/>
      <c r="D21" s="258">
        <v>-13.69</v>
      </c>
      <c r="E21" s="258">
        <v>-84.17</v>
      </c>
      <c r="F21" s="258">
        <v>-227.77</v>
      </c>
      <c r="G21" s="258">
        <v>-44.27</v>
      </c>
      <c r="H21" s="258">
        <v>-19.74</v>
      </c>
      <c r="I21" s="258">
        <v>-21.11</v>
      </c>
      <c r="J21" s="49">
        <v>242.36</v>
      </c>
      <c r="K21" s="87">
        <v>-0.09</v>
      </c>
      <c r="L21" s="55">
        <v>-312.89</v>
      </c>
    </row>
    <row r="22" spans="1:12" ht="12.75">
      <c r="A22" s="48" t="s">
        <v>11</v>
      </c>
      <c r="B22" s="60">
        <v>-62.25</v>
      </c>
      <c r="D22" s="60">
        <v>-10.1</v>
      </c>
      <c r="E22" s="60">
        <v>-59.96</v>
      </c>
      <c r="F22" s="60">
        <v>-2.68</v>
      </c>
      <c r="G22" s="60"/>
      <c r="H22" s="60">
        <v>-1.03</v>
      </c>
      <c r="I22" s="61">
        <v>-19.66</v>
      </c>
      <c r="J22" s="53">
        <v>55.27</v>
      </c>
      <c r="K22" s="49">
        <v>40.44</v>
      </c>
      <c r="L22" s="55">
        <v>-59.96</v>
      </c>
    </row>
    <row r="23" spans="1:12" ht="12.75">
      <c r="A23" s="48" t="s">
        <v>12</v>
      </c>
      <c r="B23" s="60">
        <v>-4.45</v>
      </c>
      <c r="C23" s="60"/>
      <c r="D23" s="60">
        <v>-0.93</v>
      </c>
      <c r="E23" s="60">
        <v>-6.68</v>
      </c>
      <c r="F23" s="60"/>
      <c r="G23" s="60"/>
      <c r="H23" s="60">
        <v>-0.14</v>
      </c>
      <c r="I23" s="60">
        <v>-4.29</v>
      </c>
      <c r="J23" s="49">
        <v>-0.24</v>
      </c>
      <c r="K23" s="49">
        <v>13.73</v>
      </c>
      <c r="L23" s="55">
        <v>-3.19</v>
      </c>
    </row>
    <row r="24" spans="1:12" ht="12.75">
      <c r="A24" s="247" t="s">
        <v>229</v>
      </c>
      <c r="B24" s="254">
        <v>-14.32</v>
      </c>
      <c r="C24" s="254"/>
      <c r="D24" s="254">
        <v>-0.62</v>
      </c>
      <c r="E24" s="254">
        <v>-0.01</v>
      </c>
      <c r="F24" s="254"/>
      <c r="G24" s="254"/>
      <c r="H24" s="254"/>
      <c r="I24" s="254"/>
      <c r="J24" s="49"/>
      <c r="K24" s="49"/>
      <c r="L24" s="55">
        <v>-14.95</v>
      </c>
    </row>
    <row r="25" spans="1:12" ht="12.75">
      <c r="A25" s="212" t="s">
        <v>14</v>
      </c>
      <c r="B25" s="49">
        <v>-0.17</v>
      </c>
      <c r="C25" s="49"/>
      <c r="D25" s="49">
        <v>-0.2</v>
      </c>
      <c r="E25" s="49">
        <v>0.1</v>
      </c>
      <c r="F25" s="49"/>
      <c r="G25" s="49"/>
      <c r="H25" s="49"/>
      <c r="I25" s="49">
        <v>-0.01</v>
      </c>
      <c r="J25" s="49"/>
      <c r="K25" s="49"/>
      <c r="L25" s="55">
        <v>-0.28</v>
      </c>
    </row>
    <row r="26" spans="1:12" ht="12.75">
      <c r="A26" s="212" t="s">
        <v>232</v>
      </c>
      <c r="B26" s="49"/>
      <c r="C26" s="49">
        <v>-680.54</v>
      </c>
      <c r="D26" s="49">
        <v>674.69</v>
      </c>
      <c r="E26" s="49">
        <v>0</v>
      </c>
      <c r="F26" s="49"/>
      <c r="G26" s="49"/>
      <c r="H26" s="49"/>
      <c r="I26" s="49"/>
      <c r="J26" s="49"/>
      <c r="K26" s="49"/>
      <c r="L26" s="55">
        <v>-5.84</v>
      </c>
    </row>
    <row r="27" spans="1:12" ht="12.75">
      <c r="A27" s="212" t="s">
        <v>233</v>
      </c>
      <c r="B27" s="49"/>
      <c r="C27" s="49">
        <v>13.56</v>
      </c>
      <c r="D27" s="49">
        <v>-14.03</v>
      </c>
      <c r="E27" s="49"/>
      <c r="F27" s="49"/>
      <c r="G27" s="49"/>
      <c r="H27" s="49"/>
      <c r="I27" s="49"/>
      <c r="J27" s="49"/>
      <c r="K27" s="49"/>
      <c r="L27" s="55">
        <v>-0.47</v>
      </c>
    </row>
    <row r="28" spans="1:12" ht="12.75">
      <c r="A28" s="212" t="s">
        <v>231</v>
      </c>
      <c r="B28" s="49">
        <v>-2.25</v>
      </c>
      <c r="C28" s="49"/>
      <c r="D28" s="49">
        <v>-0.5</v>
      </c>
      <c r="E28" s="49">
        <v>-0.04</v>
      </c>
      <c r="F28" s="49"/>
      <c r="G28" s="49"/>
      <c r="H28" s="49"/>
      <c r="I28" s="49"/>
      <c r="J28" s="49"/>
      <c r="K28" s="49"/>
      <c r="L28" s="55">
        <v>-2.79</v>
      </c>
    </row>
    <row r="29" spans="1:12" ht="12.75">
      <c r="A29" s="48" t="s">
        <v>17</v>
      </c>
      <c r="B29" s="49">
        <v>-0.71</v>
      </c>
      <c r="C29" s="49">
        <v>0.46</v>
      </c>
      <c r="D29" s="49"/>
      <c r="E29" s="49"/>
      <c r="F29" s="49"/>
      <c r="G29" s="49"/>
      <c r="H29" s="49"/>
      <c r="I29" s="49"/>
      <c r="J29" s="49"/>
      <c r="K29" s="49"/>
      <c r="L29" s="55">
        <v>-0.26</v>
      </c>
    </row>
    <row r="30" spans="1:12" ht="12.75">
      <c r="A30" s="48" t="s">
        <v>18</v>
      </c>
      <c r="B30" s="49">
        <v>0.03</v>
      </c>
      <c r="C30" s="49">
        <v>0.14</v>
      </c>
      <c r="D30" s="49">
        <v>-0.09</v>
      </c>
      <c r="E30" s="49">
        <v>-0.43</v>
      </c>
      <c r="F30" s="49"/>
      <c r="G30" s="49"/>
      <c r="H30" s="49"/>
      <c r="I30" s="49">
        <v>-0.11</v>
      </c>
      <c r="J30" s="49"/>
      <c r="K30" s="49">
        <v>-0.34</v>
      </c>
      <c r="L30" s="55">
        <v>-0.81</v>
      </c>
    </row>
    <row r="31" spans="1:12" ht="12.75">
      <c r="A31" s="48" t="s">
        <v>234</v>
      </c>
      <c r="B31" s="49">
        <v>-5.47</v>
      </c>
      <c r="C31" s="49">
        <v>0</v>
      </c>
      <c r="D31" s="49">
        <v>-37.42</v>
      </c>
      <c r="E31" s="49">
        <v>-17.21</v>
      </c>
      <c r="F31" s="49"/>
      <c r="G31" s="49"/>
      <c r="H31" s="49">
        <v>-0.13</v>
      </c>
      <c r="I31" s="49">
        <v>-0.19</v>
      </c>
      <c r="J31" s="49">
        <v>-24.46</v>
      </c>
      <c r="K31" s="49">
        <v>-3.9</v>
      </c>
      <c r="L31" s="55">
        <v>-88.79</v>
      </c>
    </row>
    <row r="32" spans="1:12" ht="12.75">
      <c r="A32" s="54" t="s">
        <v>235</v>
      </c>
      <c r="B32" s="54">
        <v>-0.73</v>
      </c>
      <c r="C32" s="54"/>
      <c r="D32" s="54">
        <v>-0.01</v>
      </c>
      <c r="E32" s="54">
        <v>-2.93</v>
      </c>
      <c r="F32" s="54"/>
      <c r="G32" s="54"/>
      <c r="H32" s="54">
        <v>-0.14</v>
      </c>
      <c r="I32" s="54">
        <v>-0.03</v>
      </c>
      <c r="J32" s="54">
        <v>-18.73</v>
      </c>
      <c r="K32" s="54">
        <v>-3.49</v>
      </c>
      <c r="L32" s="55">
        <v>-26.06</v>
      </c>
    </row>
    <row r="33" spans="1:12" ht="15.75" thickBot="1">
      <c r="A33" s="3"/>
      <c r="B33" s="102"/>
      <c r="C33" s="102"/>
      <c r="D33" s="102"/>
      <c r="E33" s="102"/>
      <c r="F33" s="102"/>
      <c r="G33" s="102"/>
      <c r="H33" s="102"/>
      <c r="I33" s="102"/>
      <c r="J33" s="102"/>
      <c r="K33" s="102"/>
      <c r="L33" s="86"/>
    </row>
    <row r="34" spans="1:12" ht="15.75" thickBot="1">
      <c r="A34" s="50" t="s">
        <v>21</v>
      </c>
      <c r="B34" s="51">
        <f>48.64-B16</f>
        <v>49.75</v>
      </c>
      <c r="C34" s="51">
        <f>4.35-2.39</f>
        <v>1.9599999999999995</v>
      </c>
      <c r="D34" s="51">
        <f>533.21+D16</f>
        <v>440.43000000000006</v>
      </c>
      <c r="E34" s="51">
        <f>263.33-E16</f>
        <v>274.35999999999996</v>
      </c>
      <c r="F34" s="51"/>
      <c r="G34" s="51"/>
      <c r="H34" s="51">
        <v>4.28</v>
      </c>
      <c r="I34" s="51">
        <v>71.2</v>
      </c>
      <c r="J34" s="51">
        <v>255.22</v>
      </c>
      <c r="K34" s="51">
        <v>46.76</v>
      </c>
      <c r="L34" s="52">
        <v>1226.98</v>
      </c>
    </row>
    <row r="35" spans="1:12" ht="12.75">
      <c r="A35" s="55" t="s">
        <v>22</v>
      </c>
      <c r="B35" s="56">
        <v>28.44</v>
      </c>
      <c r="C35" s="56">
        <v>1.96</v>
      </c>
      <c r="D35" s="56">
        <v>36.11</v>
      </c>
      <c r="E35" s="56">
        <v>76.06</v>
      </c>
      <c r="F35" s="56"/>
      <c r="G35" s="56"/>
      <c r="H35" s="56">
        <v>0.03</v>
      </c>
      <c r="I35" s="56">
        <v>22.18</v>
      </c>
      <c r="J35" s="56">
        <v>94.02</v>
      </c>
      <c r="K35" s="56">
        <v>15.27</v>
      </c>
      <c r="L35" s="55">
        <v>274.08</v>
      </c>
    </row>
    <row r="36" spans="1:12" ht="12.75">
      <c r="A36" s="48" t="s">
        <v>23</v>
      </c>
      <c r="B36" s="49">
        <v>11.93</v>
      </c>
      <c r="C36" s="49"/>
      <c r="D36" s="49">
        <v>1.53</v>
      </c>
      <c r="E36" s="49">
        <v>6.93</v>
      </c>
      <c r="F36" s="49"/>
      <c r="G36" s="49"/>
      <c r="H36" s="49"/>
      <c r="I36" s="49">
        <v>0.04</v>
      </c>
      <c r="J36" s="49">
        <v>10.6</v>
      </c>
      <c r="K36" s="49">
        <v>0.53</v>
      </c>
      <c r="L36" s="55">
        <v>31.56</v>
      </c>
    </row>
    <row r="37" spans="1:12" ht="12.75">
      <c r="A37" s="48" t="s">
        <v>24</v>
      </c>
      <c r="B37" s="49">
        <v>3.07</v>
      </c>
      <c r="C37" s="49">
        <v>1.96</v>
      </c>
      <c r="D37" s="49">
        <v>6.04</v>
      </c>
      <c r="E37" s="49">
        <v>16.33</v>
      </c>
      <c r="F37" s="49"/>
      <c r="G37" s="49"/>
      <c r="H37" s="49">
        <v>0</v>
      </c>
      <c r="I37" s="49">
        <v>0.98</v>
      </c>
      <c r="J37" s="49">
        <v>15.73</v>
      </c>
      <c r="K37" s="49">
        <v>6.53</v>
      </c>
      <c r="L37" s="55">
        <v>50.63</v>
      </c>
    </row>
    <row r="38" spans="1:12" ht="12.75">
      <c r="A38" s="48" t="s">
        <v>25</v>
      </c>
      <c r="B38" s="49">
        <v>0.43</v>
      </c>
      <c r="C38" s="49"/>
      <c r="D38" s="49">
        <v>0.77</v>
      </c>
      <c r="E38" s="49">
        <v>2.73</v>
      </c>
      <c r="F38" s="49"/>
      <c r="G38" s="49"/>
      <c r="H38" s="49"/>
      <c r="I38" s="49">
        <v>0.05</v>
      </c>
      <c r="J38" s="49">
        <v>8.07</v>
      </c>
      <c r="K38" s="49">
        <v>0.18</v>
      </c>
      <c r="L38" s="55">
        <v>12.23</v>
      </c>
    </row>
    <row r="39" spans="1:12" ht="12.75">
      <c r="A39" s="48" t="s">
        <v>26</v>
      </c>
      <c r="B39" s="49">
        <v>4.79</v>
      </c>
      <c r="C39" s="49"/>
      <c r="D39" s="49">
        <v>9.38</v>
      </c>
      <c r="E39" s="49">
        <v>13.51</v>
      </c>
      <c r="F39" s="49"/>
      <c r="G39" s="49"/>
      <c r="H39" s="49"/>
      <c r="I39" s="49">
        <v>3.03</v>
      </c>
      <c r="J39" s="49">
        <v>7.03</v>
      </c>
      <c r="K39" s="49">
        <v>0.18</v>
      </c>
      <c r="L39" s="55">
        <v>37.91</v>
      </c>
    </row>
    <row r="40" spans="1:12" ht="12.75">
      <c r="A40" s="48" t="s">
        <v>27</v>
      </c>
      <c r="B40" s="49">
        <v>0.1</v>
      </c>
      <c r="C40" s="49"/>
      <c r="D40" s="49">
        <v>0.43</v>
      </c>
      <c r="E40" s="49">
        <v>2.49</v>
      </c>
      <c r="F40" s="49"/>
      <c r="G40" s="49"/>
      <c r="H40" s="49"/>
      <c r="I40" s="49"/>
      <c r="J40" s="49">
        <v>4.09</v>
      </c>
      <c r="K40" s="49">
        <v>0.62</v>
      </c>
      <c r="L40" s="55">
        <v>7.73</v>
      </c>
    </row>
    <row r="41" spans="1:12" ht="12.75">
      <c r="A41" s="48" t="s">
        <v>28</v>
      </c>
      <c r="B41" s="49">
        <v>0.14</v>
      </c>
      <c r="C41" s="49"/>
      <c r="D41" s="49">
        <v>1.77</v>
      </c>
      <c r="E41" s="49">
        <v>6.43</v>
      </c>
      <c r="F41" s="49"/>
      <c r="G41" s="49"/>
      <c r="H41" s="49"/>
      <c r="I41" s="49">
        <v>0.07</v>
      </c>
      <c r="J41" s="49">
        <v>8.59</v>
      </c>
      <c r="K41" s="49">
        <v>0.53</v>
      </c>
      <c r="L41" s="55">
        <v>17.52</v>
      </c>
    </row>
    <row r="42" spans="1:12" ht="12.75">
      <c r="A42" s="48" t="s">
        <v>29</v>
      </c>
      <c r="B42" s="49">
        <v>0.14</v>
      </c>
      <c r="C42" s="49"/>
      <c r="D42" s="49">
        <v>0.73</v>
      </c>
      <c r="E42" s="49">
        <v>0.46</v>
      </c>
      <c r="F42" s="49"/>
      <c r="G42" s="49"/>
      <c r="H42" s="49"/>
      <c r="I42" s="49">
        <v>0.02</v>
      </c>
      <c r="J42" s="49">
        <v>1.24</v>
      </c>
      <c r="K42" s="49">
        <v>0.16</v>
      </c>
      <c r="L42" s="55">
        <v>2.75</v>
      </c>
    </row>
    <row r="43" spans="1:12" ht="12.75">
      <c r="A43" s="48" t="s">
        <v>30</v>
      </c>
      <c r="B43" s="49">
        <v>1.55</v>
      </c>
      <c r="C43" s="49"/>
      <c r="D43" s="49">
        <v>3.3</v>
      </c>
      <c r="E43" s="49">
        <v>11.37</v>
      </c>
      <c r="F43" s="49"/>
      <c r="G43" s="49"/>
      <c r="H43" s="49"/>
      <c r="I43" s="49">
        <v>1.25</v>
      </c>
      <c r="J43" s="49">
        <v>9.96</v>
      </c>
      <c r="K43" s="49">
        <v>0.94</v>
      </c>
      <c r="L43" s="55">
        <v>28.38</v>
      </c>
    </row>
    <row r="44" spans="1:12" ht="12.75">
      <c r="A44" s="48" t="s">
        <v>31</v>
      </c>
      <c r="B44" s="49">
        <v>1.17</v>
      </c>
      <c r="C44" s="49"/>
      <c r="D44" s="49">
        <v>1.54</v>
      </c>
      <c r="E44" s="49">
        <v>7.41</v>
      </c>
      <c r="F44" s="49"/>
      <c r="G44" s="49"/>
      <c r="H44" s="49"/>
      <c r="I44" s="49">
        <v>11.03</v>
      </c>
      <c r="J44" s="49">
        <v>11.35</v>
      </c>
      <c r="K44" s="49">
        <v>1.98</v>
      </c>
      <c r="L44" s="55">
        <v>34.47</v>
      </c>
    </row>
    <row r="45" spans="1:12" ht="12.75">
      <c r="A45" s="48" t="s">
        <v>32</v>
      </c>
      <c r="B45" s="49">
        <v>0.34</v>
      </c>
      <c r="C45" s="49"/>
      <c r="D45" s="49">
        <v>0.24</v>
      </c>
      <c r="E45" s="49">
        <v>0.58</v>
      </c>
      <c r="F45" s="49"/>
      <c r="G45" s="49"/>
      <c r="H45" s="49"/>
      <c r="I45" s="49">
        <v>4.43</v>
      </c>
      <c r="J45" s="49">
        <v>2.23</v>
      </c>
      <c r="K45" s="49">
        <v>0.45</v>
      </c>
      <c r="L45" s="55">
        <v>8.26</v>
      </c>
    </row>
    <row r="46" spans="1:12" ht="12.75">
      <c r="A46" s="48" t="s">
        <v>33</v>
      </c>
      <c r="B46" s="49">
        <v>2.25</v>
      </c>
      <c r="C46" s="49"/>
      <c r="D46" s="49">
        <v>3.32</v>
      </c>
      <c r="E46" s="49">
        <v>0.93</v>
      </c>
      <c r="F46" s="49"/>
      <c r="G46" s="49"/>
      <c r="H46" s="49"/>
      <c r="I46" s="49">
        <v>0.12</v>
      </c>
      <c r="J46" s="49">
        <v>1.71</v>
      </c>
      <c r="K46" s="49">
        <v>0.06</v>
      </c>
      <c r="L46" s="55">
        <v>8.4</v>
      </c>
    </row>
    <row r="47" spans="1:12" ht="12.75">
      <c r="A47" s="48" t="s">
        <v>34</v>
      </c>
      <c r="B47" s="49">
        <v>0.17</v>
      </c>
      <c r="C47" s="49"/>
      <c r="D47" s="49">
        <v>0.57</v>
      </c>
      <c r="E47" s="49">
        <v>2.45</v>
      </c>
      <c r="F47" s="49"/>
      <c r="G47" s="49"/>
      <c r="H47" s="49"/>
      <c r="I47" s="49">
        <v>0.07</v>
      </c>
      <c r="J47" s="49">
        <v>2.97</v>
      </c>
      <c r="K47" s="49">
        <v>0.15</v>
      </c>
      <c r="L47" s="55">
        <v>6.38</v>
      </c>
    </row>
    <row r="48" spans="1:12" ht="12.75">
      <c r="A48" s="57" t="s">
        <v>35</v>
      </c>
      <c r="B48" s="58">
        <v>2.37</v>
      </c>
      <c r="C48" s="58"/>
      <c r="D48" s="58">
        <v>6.5</v>
      </c>
      <c r="E48" s="58">
        <v>4.44</v>
      </c>
      <c r="F48" s="58"/>
      <c r="G48" s="58"/>
      <c r="H48" s="58">
        <v>0.03</v>
      </c>
      <c r="I48" s="58">
        <v>1.09</v>
      </c>
      <c r="J48" s="58">
        <v>10.45</v>
      </c>
      <c r="K48" s="58">
        <v>2.97</v>
      </c>
      <c r="L48" s="67">
        <v>27.84</v>
      </c>
    </row>
    <row r="49" spans="1:12" ht="12.75">
      <c r="A49" s="55" t="s">
        <v>36</v>
      </c>
      <c r="B49" s="56">
        <v>0.01</v>
      </c>
      <c r="C49" s="215"/>
      <c r="D49" s="215">
        <v>316.54</v>
      </c>
      <c r="E49" s="214">
        <v>2.17</v>
      </c>
      <c r="F49" s="215"/>
      <c r="G49" s="215"/>
      <c r="H49" s="215"/>
      <c r="I49" s="215">
        <v>11.88</v>
      </c>
      <c r="J49" s="215">
        <v>6.33</v>
      </c>
      <c r="K49" s="215"/>
      <c r="L49" s="55">
        <v>336.93</v>
      </c>
    </row>
    <row r="50" spans="1:12" ht="12.75">
      <c r="A50" s="112" t="s">
        <v>98</v>
      </c>
      <c r="B50" s="49"/>
      <c r="C50" s="254"/>
      <c r="D50" s="237">
        <v>8.78</v>
      </c>
      <c r="E50" s="254"/>
      <c r="F50" s="254"/>
      <c r="G50" s="254"/>
      <c r="H50" s="254"/>
      <c r="I50" s="254"/>
      <c r="J50" s="254"/>
      <c r="K50" s="254"/>
      <c r="L50" s="59">
        <v>8.78</v>
      </c>
    </row>
    <row r="51" spans="1:12" ht="13.5" thickBot="1">
      <c r="A51" s="261" t="s">
        <v>283</v>
      </c>
      <c r="B51" s="49"/>
      <c r="C51" s="254"/>
      <c r="D51" s="237">
        <v>297.34</v>
      </c>
      <c r="E51" s="254">
        <v>0.91</v>
      </c>
      <c r="F51" s="254"/>
      <c r="G51" s="254"/>
      <c r="H51" s="254"/>
      <c r="I51" s="254">
        <v>11.87</v>
      </c>
      <c r="J51" s="254">
        <v>0.004</v>
      </c>
      <c r="K51" s="254"/>
      <c r="L51" s="59">
        <v>310.12</v>
      </c>
    </row>
    <row r="52" spans="1:12" ht="13.5" thickBot="1">
      <c r="A52" s="853"/>
      <c r="B52" s="854"/>
      <c r="C52" s="855" t="s">
        <v>258</v>
      </c>
      <c r="D52" s="856" t="s">
        <v>260</v>
      </c>
      <c r="E52" s="857" t="s">
        <v>120</v>
      </c>
      <c r="F52" s="1066" t="s">
        <v>365</v>
      </c>
      <c r="G52" s="858"/>
      <c r="H52" s="858"/>
      <c r="I52" s="859" t="s">
        <v>282</v>
      </c>
      <c r="J52" s="860" t="s">
        <v>257</v>
      </c>
      <c r="K52" s="861"/>
      <c r="L52" s="214"/>
    </row>
    <row r="53" spans="1:12" ht="12.75">
      <c r="A53" s="853" t="s">
        <v>284</v>
      </c>
      <c r="B53" s="854"/>
      <c r="C53" s="967"/>
      <c r="D53" s="967"/>
      <c r="E53" s="968"/>
      <c r="F53" s="968"/>
      <c r="G53" s="861"/>
      <c r="H53" s="861"/>
      <c r="I53" s="967"/>
      <c r="J53" s="968"/>
      <c r="K53" s="861"/>
      <c r="L53" s="965"/>
    </row>
    <row r="54" spans="1:12" ht="12.75">
      <c r="A54" s="864" t="s">
        <v>127</v>
      </c>
      <c r="B54" s="865"/>
      <c r="C54" s="866"/>
      <c r="D54" s="866"/>
      <c r="E54" s="969"/>
      <c r="F54" s="969"/>
      <c r="G54" s="865"/>
      <c r="H54" s="865"/>
      <c r="I54" s="866"/>
      <c r="J54" s="969"/>
      <c r="K54" s="865"/>
      <c r="L54" s="966"/>
    </row>
    <row r="55" spans="1:12" ht="12.75">
      <c r="A55" s="871" t="s">
        <v>128</v>
      </c>
      <c r="B55" s="872"/>
      <c r="C55" s="873"/>
      <c r="D55" s="874"/>
      <c r="E55" s="875"/>
      <c r="F55" s="1067"/>
      <c r="G55" s="872"/>
      <c r="H55" s="872"/>
      <c r="I55" s="876"/>
      <c r="J55" s="875"/>
      <c r="K55" s="872"/>
      <c r="L55" s="223"/>
    </row>
    <row r="56" spans="1:12" ht="12.75">
      <c r="A56" s="871" t="s">
        <v>285</v>
      </c>
      <c r="B56" s="872"/>
      <c r="C56" s="873"/>
      <c r="D56" s="874"/>
      <c r="E56" s="875"/>
      <c r="F56" s="1067"/>
      <c r="G56" s="872"/>
      <c r="H56" s="872"/>
      <c r="I56" s="876"/>
      <c r="J56" s="875"/>
      <c r="K56" s="872"/>
      <c r="L56" s="223"/>
    </row>
    <row r="57" spans="1:12" ht="12.75">
      <c r="A57" s="871" t="s">
        <v>134</v>
      </c>
      <c r="B57" s="872"/>
      <c r="C57" s="873"/>
      <c r="D57" s="874"/>
      <c r="E57" s="875"/>
      <c r="F57" s="1067"/>
      <c r="G57" s="872"/>
      <c r="H57" s="872"/>
      <c r="I57" s="876"/>
      <c r="J57" s="875"/>
      <c r="K57" s="872"/>
      <c r="L57" s="223"/>
    </row>
    <row r="58" spans="1:12" ht="12.75">
      <c r="A58" s="871" t="s">
        <v>131</v>
      </c>
      <c r="B58" s="872"/>
      <c r="C58" s="873"/>
      <c r="D58" s="874"/>
      <c r="E58" s="875"/>
      <c r="F58" s="1067"/>
      <c r="G58" s="872"/>
      <c r="H58" s="872"/>
      <c r="I58" s="876"/>
      <c r="J58" s="875"/>
      <c r="K58" s="872"/>
      <c r="L58" s="260"/>
    </row>
    <row r="59" spans="1:12" ht="12.75">
      <c r="A59" s="864" t="s">
        <v>132</v>
      </c>
      <c r="B59" s="865"/>
      <c r="C59" s="866"/>
      <c r="D59" s="867"/>
      <c r="E59" s="868"/>
      <c r="F59" s="969"/>
      <c r="G59" s="865"/>
      <c r="H59" s="865"/>
      <c r="I59" s="869"/>
      <c r="J59" s="868"/>
      <c r="K59" s="865"/>
      <c r="L59" s="222"/>
    </row>
    <row r="60" spans="1:12" ht="12.75">
      <c r="A60" s="48" t="s">
        <v>39</v>
      </c>
      <c r="B60" s="49">
        <v>0.01</v>
      </c>
      <c r="C60" s="617">
        <v>2.78</v>
      </c>
      <c r="D60" s="231"/>
      <c r="E60" s="618"/>
      <c r="F60" s="1068"/>
      <c r="G60" s="254"/>
      <c r="H60" s="254"/>
      <c r="I60" s="619">
        <f>I61+I62</f>
        <v>0</v>
      </c>
      <c r="J60" s="618">
        <v>4.63</v>
      </c>
      <c r="K60" s="254"/>
      <c r="L60" s="55">
        <v>7.41</v>
      </c>
    </row>
    <row r="61" spans="1:12" ht="12.75">
      <c r="A61" s="864" t="s">
        <v>127</v>
      </c>
      <c r="B61" s="865"/>
      <c r="C61" s="866"/>
      <c r="D61" s="867"/>
      <c r="E61" s="868"/>
      <c r="F61" s="969"/>
      <c r="G61" s="865"/>
      <c r="H61" s="865"/>
      <c r="I61" s="869"/>
      <c r="J61" s="868"/>
      <c r="K61" s="865"/>
      <c r="L61" s="870"/>
    </row>
    <row r="62" spans="1:12" ht="13.5" thickBot="1">
      <c r="A62" s="864" t="s">
        <v>132</v>
      </c>
      <c r="B62" s="865"/>
      <c r="C62" s="878"/>
      <c r="D62" s="879"/>
      <c r="E62" s="880"/>
      <c r="F62" s="1069"/>
      <c r="G62" s="865"/>
      <c r="H62" s="865"/>
      <c r="I62" s="881"/>
      <c r="J62" s="880"/>
      <c r="K62" s="865"/>
      <c r="L62" s="870"/>
    </row>
    <row r="63" spans="1:12" ht="12.75">
      <c r="A63" s="48" t="s">
        <v>40</v>
      </c>
      <c r="B63" s="49"/>
      <c r="C63" s="254"/>
      <c r="D63" s="254">
        <v>0</v>
      </c>
      <c r="E63" s="254">
        <v>1.1</v>
      </c>
      <c r="F63" s="254"/>
      <c r="G63" s="254"/>
      <c r="H63" s="254"/>
      <c r="I63" s="254"/>
      <c r="J63" s="254">
        <v>0.12</v>
      </c>
      <c r="K63" s="254"/>
      <c r="L63" s="55">
        <v>1.25</v>
      </c>
    </row>
    <row r="64" spans="1:12" ht="12.75">
      <c r="A64" s="112" t="s">
        <v>99</v>
      </c>
      <c r="B64" s="49"/>
      <c r="C64" s="254"/>
      <c r="D64" s="254">
        <v>7.52</v>
      </c>
      <c r="E64" s="254"/>
      <c r="F64" s="254"/>
      <c r="G64" s="254"/>
      <c r="H64" s="254"/>
      <c r="I64" s="254"/>
      <c r="J64" s="254"/>
      <c r="K64" s="254"/>
      <c r="L64" s="56">
        <v>7.52</v>
      </c>
    </row>
    <row r="65" spans="1:12" ht="12.75">
      <c r="A65" s="57" t="s">
        <v>35</v>
      </c>
      <c r="B65" s="58"/>
      <c r="C65" s="255"/>
      <c r="D65" s="255">
        <v>0.15</v>
      </c>
      <c r="E65" s="255">
        <v>0.17</v>
      </c>
      <c r="F65" s="255"/>
      <c r="G65" s="255"/>
      <c r="H65" s="255"/>
      <c r="I65" s="255"/>
      <c r="J65" s="255">
        <v>1.58</v>
      </c>
      <c r="K65" s="237"/>
      <c r="L65" s="67">
        <v>1.87</v>
      </c>
    </row>
    <row r="66" spans="1:12" ht="12.75">
      <c r="A66" s="55" t="s">
        <v>42</v>
      </c>
      <c r="B66" s="56">
        <v>19.08</v>
      </c>
      <c r="C66" s="215"/>
      <c r="D66" s="215">
        <v>87.77</v>
      </c>
      <c r="E66" s="215">
        <v>174.07</v>
      </c>
      <c r="F66" s="215"/>
      <c r="G66" s="215"/>
      <c r="H66" s="56">
        <v>4.25</v>
      </c>
      <c r="I66" s="56">
        <v>37.15</v>
      </c>
      <c r="J66" s="56">
        <v>154.86</v>
      </c>
      <c r="K66" s="89">
        <v>31.49</v>
      </c>
      <c r="L66" s="55">
        <v>508.67</v>
      </c>
    </row>
    <row r="67" spans="1:12" ht="12.75">
      <c r="A67" s="212" t="s">
        <v>43</v>
      </c>
      <c r="B67" s="49">
        <v>15.23</v>
      </c>
      <c r="C67" s="254"/>
      <c r="D67" s="254">
        <v>46.94</v>
      </c>
      <c r="E67" s="254">
        <v>118.48</v>
      </c>
      <c r="F67" s="254"/>
      <c r="G67" s="254"/>
      <c r="H67" s="49">
        <v>3.51</v>
      </c>
      <c r="I67" s="49">
        <v>33.47</v>
      </c>
      <c r="J67" s="49">
        <v>77.71</v>
      </c>
      <c r="K67" s="88">
        <v>17.99</v>
      </c>
      <c r="L67" s="55">
        <v>313.34</v>
      </c>
    </row>
    <row r="68" spans="1:12" ht="12.75">
      <c r="A68" s="261" t="s">
        <v>138</v>
      </c>
      <c r="B68" s="49">
        <v>2.48</v>
      </c>
      <c r="C68" s="254"/>
      <c r="D68" s="254">
        <v>20.8</v>
      </c>
      <c r="E68" s="254">
        <v>43.49</v>
      </c>
      <c r="F68" s="254"/>
      <c r="G68" s="254"/>
      <c r="H68" s="49">
        <v>0.36</v>
      </c>
      <c r="I68" s="49">
        <v>1.89</v>
      </c>
      <c r="J68" s="49">
        <v>71.61</v>
      </c>
      <c r="K68" s="88">
        <v>8.35</v>
      </c>
      <c r="L68" s="55">
        <v>148.98</v>
      </c>
    </row>
    <row r="69" spans="1:12" ht="12.75">
      <c r="A69" s="224" t="s">
        <v>135</v>
      </c>
      <c r="B69" s="724"/>
      <c r="C69" s="724"/>
      <c r="D69" s="724"/>
      <c r="E69" s="724"/>
      <c r="F69" s="724"/>
      <c r="G69" s="724"/>
      <c r="H69" s="724"/>
      <c r="I69" s="724"/>
      <c r="J69" s="724"/>
      <c r="K69" s="900"/>
      <c r="L69" s="234">
        <f aca="true" t="shared" si="0" ref="L69:L70">SUM(B69:K69)</f>
        <v>0</v>
      </c>
    </row>
    <row r="70" spans="1:12" ht="12.75">
      <c r="A70" s="225" t="s">
        <v>136</v>
      </c>
      <c r="B70" s="724"/>
      <c r="C70" s="724"/>
      <c r="D70" s="724"/>
      <c r="E70" s="724"/>
      <c r="F70" s="724"/>
      <c r="G70" s="724"/>
      <c r="H70" s="724"/>
      <c r="I70" s="724"/>
      <c r="J70" s="724"/>
      <c r="K70" s="900"/>
      <c r="L70" s="234">
        <f t="shared" si="0"/>
        <v>0</v>
      </c>
    </row>
    <row r="71" spans="1:12" ht="12.75">
      <c r="A71" s="48" t="s">
        <v>44</v>
      </c>
      <c r="B71" s="254">
        <v>1.14</v>
      </c>
      <c r="C71" s="254"/>
      <c r="D71" s="254">
        <v>17.61</v>
      </c>
      <c r="E71" s="254">
        <v>3.66</v>
      </c>
      <c r="F71" s="254"/>
      <c r="G71" s="254"/>
      <c r="H71" s="254">
        <v>0.06</v>
      </c>
      <c r="I71" s="254">
        <v>1.78</v>
      </c>
      <c r="J71" s="254">
        <v>4.93</v>
      </c>
      <c r="K71" s="256">
        <v>0.29</v>
      </c>
      <c r="L71" s="234">
        <v>29.46</v>
      </c>
    </row>
    <row r="72" spans="1:12" ht="12.75">
      <c r="A72" s="48" t="s">
        <v>45</v>
      </c>
      <c r="B72" s="254"/>
      <c r="C72" s="254"/>
      <c r="D72" s="254">
        <v>1.48</v>
      </c>
      <c r="E72" s="254"/>
      <c r="F72" s="254"/>
      <c r="G72" s="254"/>
      <c r="H72" s="254">
        <v>0.03</v>
      </c>
      <c r="I72" s="254"/>
      <c r="J72" s="254">
        <v>0.06</v>
      </c>
      <c r="K72" s="256">
        <v>0.02</v>
      </c>
      <c r="L72" s="234">
        <v>1.58</v>
      </c>
    </row>
    <row r="73" spans="1:12" ht="13.5" thickBot="1">
      <c r="A73" s="57" t="s">
        <v>35</v>
      </c>
      <c r="B73" s="255">
        <v>0.23</v>
      </c>
      <c r="C73" s="255"/>
      <c r="D73" s="237">
        <v>0.94</v>
      </c>
      <c r="E73" s="255">
        <v>8.43</v>
      </c>
      <c r="F73" s="255"/>
      <c r="G73" s="255"/>
      <c r="H73" s="237">
        <v>0.28</v>
      </c>
      <c r="I73" s="255">
        <v>0.01</v>
      </c>
      <c r="J73" s="255">
        <v>0.56</v>
      </c>
      <c r="K73" s="256">
        <v>4.84</v>
      </c>
      <c r="L73" s="257">
        <v>15.31</v>
      </c>
    </row>
    <row r="74" spans="1:12" ht="27" thickBot="1">
      <c r="A74" s="1348" t="s">
        <v>422</v>
      </c>
      <c r="B74" s="252"/>
      <c r="C74" s="1345" t="s">
        <v>426</v>
      </c>
      <c r="D74" s="1346">
        <v>37</v>
      </c>
      <c r="E74" s="1343"/>
      <c r="F74" s="1343"/>
      <c r="G74" s="1582" t="s">
        <v>427</v>
      </c>
      <c r="H74" s="1351">
        <v>0.995</v>
      </c>
      <c r="I74" s="1344"/>
      <c r="J74" s="1583" t="s">
        <v>428</v>
      </c>
      <c r="K74" s="1352">
        <v>3.95</v>
      </c>
      <c r="L74" s="580" t="s">
        <v>94</v>
      </c>
    </row>
  </sheetData>
  <mergeCells count="1">
    <mergeCell ref="A7:L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Kansanterveyslaitos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Matti Jantunen</dc:creator>
  <cp:keywords/>
  <dc:description/>
  <cp:lastModifiedBy>Jantunen Matti</cp:lastModifiedBy>
  <cp:lastPrinted>2014-02-10T21:09:21Z</cp:lastPrinted>
  <dcterms:created xsi:type="dcterms:W3CDTF">2009-09-03T11:56:25Z</dcterms:created>
  <dcterms:modified xsi:type="dcterms:W3CDTF">2014-03-25T20:59:59Z</dcterms:modified>
  <cp:category/>
  <cp:version/>
  <cp:contentType/>
  <cp:contentStatus/>
</cp:coreProperties>
</file>